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Eelarve\Eelarve käskkirjad\2024\16122024 RIA käskkiri\"/>
    </mc:Choice>
  </mc:AlternateContent>
  <xr:revisionPtr revIDLastSave="0" documentId="8_{7942D5EE-2AFE-47CF-8827-E40E2DB30C6B}" xr6:coauthVersionLast="36" xr6:coauthVersionMax="36" xr10:uidLastSave="{00000000-0000-0000-0000-000000000000}"/>
  <bookViews>
    <workbookView xWindow="0" yWindow="0" windowWidth="28800" windowHeight="14820" xr2:uid="{CB8BFBBB-23DE-42FD-AC08-1D23A807A833}"/>
  </bookViews>
  <sheets>
    <sheet name="Lisa 1 RIA " sheetId="1" r:id="rId1"/>
  </sheets>
  <definedNames>
    <definedName name="_xlnm._FilterDatabase" localSheetId="0" hidden="1">'Lisa 1 RIA '!$A$14:$H$73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4" i="1" l="1"/>
  <c r="O74" i="1" s="1"/>
  <c r="S74" i="1" s="1"/>
  <c r="O73" i="1"/>
  <c r="S73" i="1" s="1"/>
  <c r="J73" i="1"/>
  <c r="H72" i="1"/>
  <c r="J72" i="1" s="1"/>
  <c r="O72" i="1" s="1"/>
  <c r="S72" i="1" s="1"/>
  <c r="J71" i="1"/>
  <c r="O71" i="1" s="1"/>
  <c r="S71" i="1" s="1"/>
  <c r="H70" i="1"/>
  <c r="J70" i="1" s="1"/>
  <c r="O69" i="1"/>
  <c r="S69" i="1" s="1"/>
  <c r="J69" i="1"/>
  <c r="J68" i="1"/>
  <c r="O68" i="1" s="1"/>
  <c r="R67" i="1"/>
  <c r="Q67" i="1"/>
  <c r="P67" i="1"/>
  <c r="N67" i="1"/>
  <c r="M67" i="1"/>
  <c r="L67" i="1"/>
  <c r="K67" i="1"/>
  <c r="I67" i="1"/>
  <c r="H67" i="1"/>
  <c r="J66" i="1"/>
  <c r="O66" i="1" s="1"/>
  <c r="S66" i="1" s="1"/>
  <c r="J65" i="1"/>
  <c r="O65" i="1" s="1"/>
  <c r="S65" i="1" s="1"/>
  <c r="O64" i="1"/>
  <c r="S64" i="1" s="1"/>
  <c r="J64" i="1"/>
  <c r="J63" i="1"/>
  <c r="O63" i="1" s="1"/>
  <c r="S63" i="1" s="1"/>
  <c r="O62" i="1"/>
  <c r="S62" i="1" s="1"/>
  <c r="J62" i="1"/>
  <c r="S61" i="1"/>
  <c r="O61" i="1"/>
  <c r="J61" i="1"/>
  <c r="R60" i="1"/>
  <c r="Q60" i="1"/>
  <c r="P60" i="1"/>
  <c r="N60" i="1"/>
  <c r="N57" i="1" s="1"/>
  <c r="N56" i="1" s="1"/>
  <c r="M60" i="1"/>
  <c r="L60" i="1"/>
  <c r="K60" i="1"/>
  <c r="J60" i="1"/>
  <c r="I60" i="1"/>
  <c r="H60" i="1"/>
  <c r="O59" i="1"/>
  <c r="O58" i="1" s="1"/>
  <c r="J59" i="1"/>
  <c r="J58" i="1" s="1"/>
  <c r="J57" i="1" s="1"/>
  <c r="J56" i="1" s="1"/>
  <c r="R58" i="1"/>
  <c r="Q58" i="1"/>
  <c r="P58" i="1"/>
  <c r="N58" i="1"/>
  <c r="M58" i="1"/>
  <c r="M57" i="1" s="1"/>
  <c r="M56" i="1" s="1"/>
  <c r="L58" i="1"/>
  <c r="K58" i="1"/>
  <c r="I58" i="1"/>
  <c r="H58" i="1"/>
  <c r="R57" i="1"/>
  <c r="Q57" i="1"/>
  <c r="Q56" i="1" s="1"/>
  <c r="P57" i="1"/>
  <c r="L57" i="1"/>
  <c r="K57" i="1"/>
  <c r="I57" i="1"/>
  <c r="I56" i="1" s="1"/>
  <c r="H57" i="1"/>
  <c r="R56" i="1"/>
  <c r="P56" i="1"/>
  <c r="L56" i="1"/>
  <c r="K56" i="1"/>
  <c r="H56" i="1"/>
  <c r="J55" i="1"/>
  <c r="J11" i="1" s="1"/>
  <c r="J54" i="1"/>
  <c r="O54" i="1" s="1"/>
  <c r="S54" i="1" s="1"/>
  <c r="J53" i="1"/>
  <c r="O53" i="1" s="1"/>
  <c r="S53" i="1" s="1"/>
  <c r="O52" i="1"/>
  <c r="S52" i="1" s="1"/>
  <c r="O51" i="1"/>
  <c r="S51" i="1" s="1"/>
  <c r="S50" i="1"/>
  <c r="O50" i="1"/>
  <c r="O49" i="1"/>
  <c r="S49" i="1" s="1"/>
  <c r="O48" i="1"/>
  <c r="S48" i="1" s="1"/>
  <c r="J48" i="1"/>
  <c r="J47" i="1"/>
  <c r="O47" i="1" s="1"/>
  <c r="S47" i="1" s="1"/>
  <c r="O46" i="1"/>
  <c r="S46" i="1" s="1"/>
  <c r="J46" i="1"/>
  <c r="S45" i="1"/>
  <c r="O45" i="1"/>
  <c r="J44" i="1"/>
  <c r="O44" i="1" s="1"/>
  <c r="S44" i="1" s="1"/>
  <c r="O43" i="1"/>
  <c r="S43" i="1" s="1"/>
  <c r="J43" i="1"/>
  <c r="J42" i="1"/>
  <c r="O42" i="1" s="1"/>
  <c r="S42" i="1" s="1"/>
  <c r="O41" i="1"/>
  <c r="S41" i="1" s="1"/>
  <c r="J41" i="1"/>
  <c r="J40" i="1"/>
  <c r="O40" i="1" s="1"/>
  <c r="S40" i="1" s="1"/>
  <c r="J39" i="1"/>
  <c r="O39" i="1" s="1"/>
  <c r="S39" i="1" s="1"/>
  <c r="S38" i="1"/>
  <c r="O38" i="1"/>
  <c r="S37" i="1"/>
  <c r="O37" i="1"/>
  <c r="J36" i="1"/>
  <c r="O36" i="1" s="1"/>
  <c r="S36" i="1" s="1"/>
  <c r="O35" i="1"/>
  <c r="S35" i="1" s="1"/>
  <c r="J35" i="1"/>
  <c r="J34" i="1"/>
  <c r="O34" i="1" s="1"/>
  <c r="S34" i="1" s="1"/>
  <c r="J33" i="1"/>
  <c r="O33" i="1" s="1"/>
  <c r="S30" i="1"/>
  <c r="O30" i="1"/>
  <c r="J29" i="1"/>
  <c r="O29" i="1" s="1"/>
  <c r="S29" i="1" s="1"/>
  <c r="J28" i="1"/>
  <c r="O28" i="1" s="1"/>
  <c r="R27" i="1"/>
  <c r="Q27" i="1"/>
  <c r="P27" i="1"/>
  <c r="N27" i="1"/>
  <c r="M27" i="1"/>
  <c r="L27" i="1"/>
  <c r="K27" i="1"/>
  <c r="I27" i="1"/>
  <c r="H27" i="1"/>
  <c r="J26" i="1"/>
  <c r="O26" i="1" s="1"/>
  <c r="S26" i="1" s="1"/>
  <c r="J25" i="1"/>
  <c r="O25" i="1" s="1"/>
  <c r="S25" i="1" s="1"/>
  <c r="R24" i="1"/>
  <c r="Q24" i="1"/>
  <c r="Q23" i="1" s="1"/>
  <c r="Q22" i="1" s="1"/>
  <c r="Q21" i="1" s="1"/>
  <c r="M24" i="1"/>
  <c r="J24" i="1"/>
  <c r="O24" i="1" s="1"/>
  <c r="R23" i="1"/>
  <c r="R22" i="1" s="1"/>
  <c r="R21" i="1" s="1"/>
  <c r="P23" i="1"/>
  <c r="N23" i="1"/>
  <c r="M23" i="1"/>
  <c r="L23" i="1"/>
  <c r="K23" i="1"/>
  <c r="J23" i="1"/>
  <c r="I23" i="1"/>
  <c r="H23" i="1"/>
  <c r="P22" i="1"/>
  <c r="N22" i="1"/>
  <c r="N21" i="1" s="1"/>
  <c r="M22" i="1"/>
  <c r="M21" i="1" s="1"/>
  <c r="L22" i="1"/>
  <c r="K22" i="1"/>
  <c r="K21" i="1" s="1"/>
  <c r="I22" i="1"/>
  <c r="H22" i="1"/>
  <c r="P21" i="1"/>
  <c r="L21" i="1"/>
  <c r="I21" i="1"/>
  <c r="H21" i="1"/>
  <c r="J20" i="1"/>
  <c r="O20" i="1" s="1"/>
  <c r="S20" i="1" s="1"/>
  <c r="J19" i="1"/>
  <c r="O19" i="1" s="1"/>
  <c r="S19" i="1" s="1"/>
  <c r="J18" i="1"/>
  <c r="J7" i="1" s="1"/>
  <c r="J8" i="1" s="1"/>
  <c r="R17" i="1"/>
  <c r="Q17" i="1"/>
  <c r="P17" i="1"/>
  <c r="N17" i="1"/>
  <c r="M17" i="1"/>
  <c r="L17" i="1"/>
  <c r="K17" i="1"/>
  <c r="I17" i="1"/>
  <c r="H17" i="1"/>
  <c r="R12" i="1"/>
  <c r="Q12" i="1"/>
  <c r="P12" i="1"/>
  <c r="N12" i="1"/>
  <c r="M12" i="1"/>
  <c r="L12" i="1"/>
  <c r="K12" i="1"/>
  <c r="I12" i="1"/>
  <c r="H12" i="1"/>
  <c r="R11" i="1"/>
  <c r="Q11" i="1"/>
  <c r="P11" i="1"/>
  <c r="N11" i="1"/>
  <c r="M11" i="1"/>
  <c r="L11" i="1"/>
  <c r="K11" i="1"/>
  <c r="I11" i="1"/>
  <c r="H11" i="1"/>
  <c r="R10" i="1"/>
  <c r="Q10" i="1"/>
  <c r="P10" i="1"/>
  <c r="N10" i="1"/>
  <c r="M10" i="1"/>
  <c r="L10" i="1"/>
  <c r="K10" i="1"/>
  <c r="I10" i="1"/>
  <c r="H10" i="1"/>
  <c r="R9" i="1"/>
  <c r="R13" i="1" s="1"/>
  <c r="P9" i="1"/>
  <c r="P13" i="1" s="1"/>
  <c r="N9" i="1"/>
  <c r="N13" i="1" s="1"/>
  <c r="M9" i="1"/>
  <c r="M13" i="1" s="1"/>
  <c r="L9" i="1"/>
  <c r="L13" i="1" s="1"/>
  <c r="K9" i="1"/>
  <c r="K13" i="1" s="1"/>
  <c r="J9" i="1"/>
  <c r="I9" i="1"/>
  <c r="I13" i="1" s="1"/>
  <c r="H9" i="1"/>
  <c r="H13" i="1" s="1"/>
  <c r="N8" i="1"/>
  <c r="M8" i="1"/>
  <c r="L8" i="1"/>
  <c r="R7" i="1"/>
  <c r="R8" i="1" s="1"/>
  <c r="Q7" i="1"/>
  <c r="Q8" i="1" s="1"/>
  <c r="P7" i="1"/>
  <c r="P8" i="1" s="1"/>
  <c r="N7" i="1"/>
  <c r="M7" i="1"/>
  <c r="L7" i="1"/>
  <c r="K7" i="1"/>
  <c r="K8" i="1" s="1"/>
  <c r="I7" i="1"/>
  <c r="I8" i="1" s="1"/>
  <c r="H7" i="1"/>
  <c r="H8" i="1" s="1"/>
  <c r="J67" i="1" l="1"/>
  <c r="J12" i="1"/>
  <c r="O70" i="1"/>
  <c r="S70" i="1" s="1"/>
  <c r="S33" i="1"/>
  <c r="S11" i="1" s="1"/>
  <c r="O11" i="1"/>
  <c r="O60" i="1"/>
  <c r="O57" i="1" s="1"/>
  <c r="O56" i="1" s="1"/>
  <c r="S24" i="1"/>
  <c r="O9" i="1"/>
  <c r="O23" i="1"/>
  <c r="S60" i="1"/>
  <c r="S28" i="1"/>
  <c r="O27" i="1"/>
  <c r="O10" i="1"/>
  <c r="S68" i="1"/>
  <c r="O12" i="1"/>
  <c r="J27" i="1"/>
  <c r="J22" i="1" s="1"/>
  <c r="J21" i="1" s="1"/>
  <c r="J10" i="1"/>
  <c r="J13" i="1" s="1"/>
  <c r="J17" i="1"/>
  <c r="Q9" i="1"/>
  <c r="Q13" i="1" s="1"/>
  <c r="O18" i="1"/>
  <c r="O55" i="1"/>
  <c r="S55" i="1" s="1"/>
  <c r="S59" i="1"/>
  <c r="S58" i="1" s="1"/>
  <c r="S57" i="1" s="1"/>
  <c r="S56" i="1" s="1"/>
  <c r="S18" i="1" l="1"/>
  <c r="O7" i="1"/>
  <c r="O8" i="1" s="1"/>
  <c r="O17" i="1"/>
  <c r="S10" i="1"/>
  <c r="S27" i="1"/>
  <c r="O22" i="1"/>
  <c r="O21" i="1" s="1"/>
  <c r="O13" i="1"/>
  <c r="S12" i="1"/>
  <c r="S67" i="1"/>
  <c r="O67" i="1"/>
  <c r="S23" i="1"/>
  <c r="S9" i="1"/>
  <c r="S13" i="1" l="1"/>
  <c r="S22" i="1"/>
  <c r="S21" i="1" s="1"/>
  <c r="S17" i="1"/>
  <c r="S7" i="1"/>
  <c r="S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tc={8873DDD3-5EAF-4745-900E-E4E396AD5B3A}</author>
  </authors>
  <commentList>
    <comment ref="I59" authorId="0" shapeId="0" xr:uid="{2C2ED5CF-0B68-48DF-BC25-E0B6C89C5061}">
      <text>
        <r>
          <rPr>
            <sz val="11"/>
            <color indexed="8"/>
            <rFont val="Calibri"/>
            <family val="2"/>
            <scheme val="minor"/>
          </rPr>
          <t>[Lõimkommentaar]
Teie Exceli versioon võimaldab teil seda lõimkommentaari lugeda, ent kõik sellesse tehtud muudatused eemaldatakse, kui fail avatakse Exceli uuemas versioonis. Lisateavet leiate siit: https://go.microsoft.com/fwlink/?linkid=870924.
Kommentaar:
    MKMilt ettevõtja elujõulisuse indeksi turvatestimiseks</t>
        </r>
      </text>
    </comment>
  </commentList>
</comments>
</file>

<file path=xl/sharedStrings.xml><?xml version="1.0" encoding="utf-8"?>
<sst xmlns="http://schemas.openxmlformats.org/spreadsheetml/2006/main" count="233" uniqueCount="91">
  <si>
    <t>Riigi Infosüsteemi Ameti peadirektori käskkirja "Riigi Infosüsteemi Ameti 2024. aasta eelarve piirsummade kinnitamine"  juurde</t>
  </si>
  <si>
    <t>Riigi Infosüsteemi Amet</t>
  </si>
  <si>
    <t>Tulud</t>
  </si>
  <si>
    <t>Tulud kokku</t>
  </si>
  <si>
    <t>Investeeringud</t>
  </si>
  <si>
    <t>Kulud</t>
  </si>
  <si>
    <t>Põhivara kulum</t>
  </si>
  <si>
    <t>Käibemaks</t>
  </si>
  <si>
    <t>Kulud ja investeeringud kokku</t>
  </si>
  <si>
    <t>Programmi tegevus - kood</t>
  </si>
  <si>
    <t>Programmi tegevus - nimi</t>
  </si>
  <si>
    <t>Eelarve liik*</t>
  </si>
  <si>
    <t>Eelarve objekt</t>
  </si>
  <si>
    <t>Objekti nimi</t>
  </si>
  <si>
    <t>Eelarve konto</t>
  </si>
  <si>
    <t>Majanduslik sisu</t>
  </si>
  <si>
    <t>Riigikogus kinnitatud eelarve 2024</t>
  </si>
  <si>
    <t>Sisemised muudatused</t>
  </si>
  <si>
    <t xml:space="preserve">MKMi 25.01.2024 kk-ga nr 10 kinnitatud eelarve </t>
  </si>
  <si>
    <t>MKMi 25.01.2024 kk nr 11</t>
  </si>
  <si>
    <t>RaMi 24.04.2024 kk nr 59</t>
  </si>
  <si>
    <t>MKMi 10.06.2024 kk nr 41</t>
  </si>
  <si>
    <t>2024. aasta lisaeelarve seadus 19.06.2024</t>
  </si>
  <si>
    <t xml:space="preserve">MKMi 12.07.2024 kk-ga nr 59 kinnitatud eelarve </t>
  </si>
  <si>
    <t>RaMi 09.10.2024 kk nr 112</t>
  </si>
  <si>
    <t>2024. aasta RE seaduse muutmise seadus 04.12.2024</t>
  </si>
  <si>
    <t>Lõplik eelarve 2024</t>
  </si>
  <si>
    <t>Stsenaarium asutuse kulumudelis</t>
  </si>
  <si>
    <t>EELARVE</t>
  </si>
  <si>
    <t>MINISTRI_ LIIGENDUS</t>
  </si>
  <si>
    <t>EELARVE_ ULE</t>
  </si>
  <si>
    <t>RESERV</t>
  </si>
  <si>
    <t>LISA-EELARVE</t>
  </si>
  <si>
    <t>SEADUSE_MUUDATUS</t>
  </si>
  <si>
    <t/>
  </si>
  <si>
    <t>Periood asutuse kulumudelis</t>
  </si>
  <si>
    <t>2024_01</t>
  </si>
  <si>
    <t>2024_04</t>
  </si>
  <si>
    <t>2024_05</t>
  </si>
  <si>
    <t>2024_03</t>
  </si>
  <si>
    <t>2024_10</t>
  </si>
  <si>
    <t>2024_01 2024_03</t>
  </si>
  <si>
    <t>2024_12</t>
  </si>
  <si>
    <t>TULUD KOKKU</t>
  </si>
  <si>
    <t>XX010000</t>
  </si>
  <si>
    <t>Programmide ülene</t>
  </si>
  <si>
    <t>10</t>
  </si>
  <si>
    <t>Dokumendi legaliseerimise riigilõiv</t>
  </si>
  <si>
    <t>40</t>
  </si>
  <si>
    <t>Saadud välistoetused</t>
  </si>
  <si>
    <t>44</t>
  </si>
  <si>
    <t>Omatulud transpordi- ja sidealasest tegevusest</t>
  </si>
  <si>
    <t>TULEMUSVALDKOND  INFOÜHISKOND</t>
  </si>
  <si>
    <t xml:space="preserve">DIGIÜHISKONNA  PROGRAMM  </t>
  </si>
  <si>
    <t>INVESTEERINGUD KOKKU</t>
  </si>
  <si>
    <t>IYDA0000</t>
  </si>
  <si>
    <t>Investeeringud digiühiskonda</t>
  </si>
  <si>
    <t>20</t>
  </si>
  <si>
    <t>IN002000</t>
  </si>
  <si>
    <t>IT investeeringud</t>
  </si>
  <si>
    <t>Investeeringud (sh RRFist, ERFist)</t>
  </si>
  <si>
    <t>KULUD  KOKKU</t>
  </si>
  <si>
    <t>IYDA0101</t>
  </si>
  <si>
    <t>Digiriigi arenguhüpped</t>
  </si>
  <si>
    <t>SR070077</t>
  </si>
  <si>
    <t>IT vajaku kompenseerimine 4</t>
  </si>
  <si>
    <t>60</t>
  </si>
  <si>
    <t>IYDA0102</t>
  </si>
  <si>
    <t>Digiriigi alusbaasi kindlustamine</t>
  </si>
  <si>
    <t>SE000028</t>
  </si>
  <si>
    <t>Vahendid Riigi Kinnisvara Aktsiaseltsile</t>
  </si>
  <si>
    <t>SR070059</t>
  </si>
  <si>
    <t>Struktuurifondide proj halduskulud 2024</t>
  </si>
  <si>
    <t>IYDA0202</t>
  </si>
  <si>
    <t>Suundumuste, riskide ja mõjude analüüsivõime arendamine</t>
  </si>
  <si>
    <t>IYDA0203</t>
  </si>
  <si>
    <t>Küberturvalisuse tagamine</t>
  </si>
  <si>
    <t>SR070112</t>
  </si>
  <si>
    <t>Laiapindne riigikaitse</t>
  </si>
  <si>
    <t>TULEMUSVALDKOND  TEADUS-  JA  ARENDUSTEGEVUS  JA  ETTEVÕTLUS</t>
  </si>
  <si>
    <t xml:space="preserve">TEADMUSSIIRDE  PROGRAMM  </t>
  </si>
  <si>
    <t>TI020000</t>
  </si>
  <si>
    <t>Investeeringud teadmussiirdesse</t>
  </si>
  <si>
    <t>Investeeringud (teadus- ja arendustegev)</t>
  </si>
  <si>
    <t>TI020101</t>
  </si>
  <si>
    <t>Ettevõtete innovatsiooni-, digi- ja rohepöörde soodustamine</t>
  </si>
  <si>
    <t>KÄIBEMAKS  KOKKU</t>
  </si>
  <si>
    <t>Vahendid RKASile</t>
  </si>
  <si>
    <t xml:space="preserve">Investeeringud </t>
  </si>
  <si>
    <t>* Eelarve liik: 10 - arvestuslikud vahendid, 20 - kindlaksmääratud vahendid, 32 - välistoetuste riiklik kaasfinantseerimine, 40 - välistoetustest ja moderniseerimisfondist saadavad vahendid, 41 - vahendatavad välistoetused, 43 - CO2 müügist saadavad vahendid, 44 - omatuludest saadavad vahendid, 45 - ebaregulaarsetest tuludest saadavad vahendid, 60 - mitterahalised vahendid (põhivara kulum)</t>
  </si>
  <si>
    <t>Lisa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</si>
</sst>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indexed="8"/>
      <name val="Calibri"/>
      <family val="2"/>
      <scheme val="minor"/>
    </font>
    <font>
      <sz val="10"/>
      <color indexed="8"/>
      <name val="Times New Roman"/>
      <family val="1"/>
      <charset val="186"/>
    </font>
    <font>
      <b/>
      <sz val="10"/>
      <color indexed="8"/>
      <name val="Times New Roman"/>
      <family val="1"/>
      <charset val="186"/>
    </font>
    <font>
      <sz val="11"/>
      <color theme="1"/>
      <name val="Arial"/>
      <family val="2"/>
      <charset val="186"/>
    </font>
    <font>
      <sz val="9"/>
      <color theme="1"/>
      <name val="Times New Roman"/>
      <family val="1"/>
      <charset val="186"/>
    </font>
    <font>
      <sz val="9"/>
      <name val="Times New Roman"/>
      <family val="1"/>
      <charset val="186"/>
    </font>
    <font>
      <i/>
      <u/>
      <sz val="9"/>
      <name val="Times New Roman"/>
      <family val="1"/>
      <charset val="186"/>
    </font>
    <font>
      <i/>
      <u/>
      <sz val="9"/>
      <color theme="1"/>
      <name val="Times New Roman"/>
      <family val="1"/>
      <charset val="186"/>
    </font>
    <font>
      <b/>
      <sz val="10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b/>
      <sz val="10"/>
      <color rgb="FF000000"/>
      <name val="Times New Roman"/>
      <family val="1"/>
      <charset val="186"/>
    </font>
    <font>
      <sz val="11"/>
      <color rgb="FFFFFFFF"/>
      <name val="Calibri"/>
      <family val="2"/>
      <scheme val="minor"/>
    </font>
    <font>
      <i/>
      <sz val="10"/>
      <name val="Times New Roman"/>
      <family val="1"/>
      <charset val="186"/>
    </font>
    <font>
      <i/>
      <sz val="10"/>
      <color theme="1"/>
      <name val="Times New Roman"/>
      <family val="1"/>
      <charset val="186"/>
    </font>
    <font>
      <i/>
      <sz val="10"/>
      <color indexed="8"/>
      <name val="Times New Roman"/>
      <family val="1"/>
      <charset val="186"/>
    </font>
    <font>
      <sz val="10"/>
      <name val="Times New Roman"/>
      <family val="1"/>
      <charset val="186"/>
    </font>
    <font>
      <b/>
      <sz val="9"/>
      <name val="Times New Roman"/>
      <family val="1"/>
      <charset val="186"/>
    </font>
    <font>
      <b/>
      <sz val="9"/>
      <color indexed="8"/>
      <name val="Times New Roman"/>
      <family val="1"/>
      <charset val="186"/>
    </font>
    <font>
      <sz val="9"/>
      <color indexed="8"/>
      <name val="Segoe UI"/>
      <family val="2"/>
      <charset val="186"/>
    </font>
    <font>
      <b/>
      <sz val="11"/>
      <color indexed="8"/>
      <name val="Calibri"/>
      <family val="2"/>
      <charset val="186"/>
      <scheme val="minor"/>
    </font>
    <font>
      <sz val="9"/>
      <color indexed="8"/>
      <name val="Times New Roman"/>
      <family val="1"/>
      <charset val="186"/>
    </font>
    <font>
      <sz val="11"/>
      <color indexed="8"/>
      <name val="Calibri"/>
      <family val="2"/>
      <charset val="186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3" fillId="0" borderId="0"/>
    <xf numFmtId="0" fontId="9" fillId="0" borderId="0"/>
  </cellStyleXfs>
  <cellXfs count="81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horizontal="right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horizontal="center" wrapText="1"/>
    </xf>
    <xf numFmtId="3" fontId="0" fillId="0" borderId="0" xfId="0" applyNumberFormat="1"/>
    <xf numFmtId="0" fontId="2" fillId="0" borderId="0" xfId="0" applyFont="1"/>
    <xf numFmtId="3" fontId="4" fillId="0" borderId="0" xfId="1" applyNumberFormat="1" applyFont="1" applyAlignment="1">
      <alignment horizontal="right" wrapText="1"/>
    </xf>
    <xf numFmtId="3" fontId="5" fillId="0" borderId="0" xfId="1" applyNumberFormat="1" applyFont="1" applyAlignment="1" applyProtection="1">
      <alignment horizontal="right"/>
      <protection hidden="1"/>
    </xf>
    <xf numFmtId="3" fontId="6" fillId="0" borderId="0" xfId="1" applyNumberFormat="1" applyFont="1" applyAlignment="1">
      <alignment horizontal="right" wrapText="1"/>
    </xf>
    <xf numFmtId="3" fontId="7" fillId="0" borderId="0" xfId="1" applyNumberFormat="1" applyFont="1" applyAlignment="1">
      <alignment horizontal="right" wrapText="1"/>
    </xf>
    <xf numFmtId="49" fontId="4" fillId="0" borderId="0" xfId="1" applyNumberFormat="1" applyFont="1" applyAlignment="1">
      <alignment horizontal="right" wrapText="1"/>
    </xf>
    <xf numFmtId="49" fontId="4" fillId="0" borderId="0" xfId="1" applyNumberFormat="1" applyFont="1" applyAlignment="1">
      <alignment horizontal="right"/>
    </xf>
    <xf numFmtId="3" fontId="7" fillId="0" borderId="0" xfId="1" applyNumberFormat="1" applyFont="1" applyAlignment="1">
      <alignment wrapText="1"/>
    </xf>
    <xf numFmtId="0" fontId="8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vertical="center" wrapText="1"/>
    </xf>
    <xf numFmtId="4" fontId="8" fillId="3" borderId="1" xfId="2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1" fillId="0" borderId="1" xfId="0" applyFont="1" applyBorder="1"/>
    <xf numFmtId="0" fontId="11" fillId="0" borderId="1" xfId="0" applyFont="1" applyBorder="1" applyAlignment="1">
      <alignment horizontal="center"/>
    </xf>
    <xf numFmtId="0" fontId="0" fillId="0" borderId="1" xfId="0" applyBorder="1"/>
    <xf numFmtId="0" fontId="12" fillId="0" borderId="1" xfId="2" applyFont="1" applyBorder="1" applyAlignment="1">
      <alignment vertical="center" wrapText="1"/>
    </xf>
    <xf numFmtId="0" fontId="12" fillId="0" borderId="1" xfId="2" applyFont="1" applyBorder="1" applyAlignment="1">
      <alignment horizontal="center" vertical="center" wrapText="1"/>
    </xf>
    <xf numFmtId="0" fontId="12" fillId="0" borderId="1" xfId="2" applyFont="1" applyBorder="1" applyAlignment="1">
      <alignment horizontal="right" vertical="center" wrapText="1"/>
    </xf>
    <xf numFmtId="3" fontId="13" fillId="0" borderId="1" xfId="2" applyNumberFormat="1" applyFont="1" applyBorder="1" applyAlignment="1">
      <alignment horizontal="center" vertical="center" wrapText="1"/>
    </xf>
    <xf numFmtId="3" fontId="12" fillId="0" borderId="1" xfId="2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6" fillId="2" borderId="1" xfId="2" applyFont="1" applyFill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12" fillId="2" borderId="1" xfId="2" applyFont="1" applyFill="1" applyBorder="1" applyAlignment="1">
      <alignment horizontal="right" vertical="center" wrapText="1"/>
    </xf>
    <xf numFmtId="0" fontId="12" fillId="2" borderId="1" xfId="2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right"/>
    </xf>
    <xf numFmtId="0" fontId="1" fillId="0" borderId="1" xfId="0" applyFont="1" applyBorder="1"/>
    <xf numFmtId="3" fontId="1" fillId="0" borderId="1" xfId="0" applyNumberFormat="1" applyFont="1" applyBorder="1"/>
    <xf numFmtId="0" fontId="17" fillId="2" borderId="1" xfId="0" applyFont="1" applyFill="1" applyBorder="1" applyAlignment="1">
      <alignment horizontal="left"/>
    </xf>
    <xf numFmtId="0" fontId="17" fillId="2" borderId="1" xfId="0" applyFont="1" applyFill="1" applyBorder="1"/>
    <xf numFmtId="0" fontId="0" fillId="2" borderId="1" xfId="0" applyFill="1" applyBorder="1"/>
    <xf numFmtId="3" fontId="2" fillId="2" borderId="1" xfId="0" applyNumberFormat="1" applyFont="1" applyFill="1" applyBorder="1"/>
    <xf numFmtId="0" fontId="16" fillId="3" borderId="1" xfId="1" applyFont="1" applyFill="1" applyBorder="1" applyAlignment="1">
      <alignment horizontal="left"/>
    </xf>
    <xf numFmtId="3" fontId="15" fillId="0" borderId="1" xfId="0" applyNumberFormat="1" applyFont="1" applyFill="1" applyBorder="1"/>
    <xf numFmtId="0" fontId="15" fillId="0" borderId="1" xfId="0" applyFont="1" applyBorder="1" applyAlignment="1">
      <alignment vertical="center"/>
    </xf>
    <xf numFmtId="0" fontId="15" fillId="0" borderId="1" xfId="0" applyFont="1" applyBorder="1"/>
    <xf numFmtId="0" fontId="15" fillId="0" borderId="1" xfId="0" applyFont="1" applyBorder="1" applyAlignment="1">
      <alignment horizont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8" fillId="0" borderId="1" xfId="0" applyFont="1" applyBorder="1" applyAlignment="1">
      <alignment vertical="center"/>
    </xf>
    <xf numFmtId="0" fontId="17" fillId="2" borderId="1" xfId="0" applyFont="1" applyFill="1" applyBorder="1" applyAlignment="1">
      <alignment horizontal="left"/>
    </xf>
    <xf numFmtId="0" fontId="17" fillId="2" borderId="1" xfId="0" applyFont="1" applyFill="1" applyBorder="1" applyAlignment="1">
      <alignment vertical="center"/>
    </xf>
    <xf numFmtId="0" fontId="16" fillId="2" borderId="1" xfId="1" applyFont="1" applyFill="1" applyBorder="1" applyAlignment="1">
      <alignment horizontal="left"/>
    </xf>
    <xf numFmtId="3" fontId="15" fillId="0" borderId="1" xfId="0" applyNumberFormat="1" applyFont="1" applyBorder="1"/>
    <xf numFmtId="3" fontId="1" fillId="0" borderId="1" xfId="0" applyNumberFormat="1" applyFont="1" applyBorder="1" applyAlignment="1">
      <alignment vertical="center"/>
    </xf>
    <xf numFmtId="0" fontId="19" fillId="0" borderId="0" xfId="0" applyFont="1"/>
    <xf numFmtId="0" fontId="16" fillId="3" borderId="1" xfId="1" applyFont="1" applyFill="1" applyBorder="1" applyAlignment="1">
      <alignment horizontal="left" vertical="center"/>
    </xf>
    <xf numFmtId="0" fontId="20" fillId="2" borderId="1" xfId="0" applyFont="1" applyFill="1" applyBorder="1" applyAlignment="1">
      <alignment vertical="center"/>
    </xf>
    <xf numFmtId="0" fontId="20" fillId="2" borderId="1" xfId="0" applyFont="1" applyFill="1" applyBorder="1" applyAlignment="1">
      <alignment horizontal="center" vertical="center"/>
    </xf>
    <xf numFmtId="0" fontId="19" fillId="0" borderId="1" xfId="0" applyFont="1" applyBorder="1"/>
    <xf numFmtId="0" fontId="21" fillId="2" borderId="1" xfId="0" applyFont="1" applyFill="1" applyBorder="1"/>
    <xf numFmtId="0" fontId="21" fillId="2" borderId="1" xfId="0" applyFont="1" applyFill="1" applyBorder="1" applyAlignment="1">
      <alignment horizontal="center"/>
    </xf>
    <xf numFmtId="0" fontId="18" fillId="0" borderId="0" xfId="0" applyFont="1" applyAlignment="1">
      <alignment vertical="center"/>
    </xf>
    <xf numFmtId="3" fontId="1" fillId="0" borderId="2" xfId="0" applyNumberFormat="1" applyFont="1" applyBorder="1"/>
    <xf numFmtId="0" fontId="1" fillId="0" borderId="0" xfId="0" applyFont="1" applyAlignment="1">
      <alignment horizontal="left" vertical="top" wrapText="1"/>
    </xf>
    <xf numFmtId="0" fontId="0" fillId="0" borderId="0" xfId="0"/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center" vertical="top" wrapText="1"/>
    </xf>
    <xf numFmtId="0" fontId="22" fillId="0" borderId="1" xfId="0" applyFont="1" applyBorder="1"/>
    <xf numFmtId="3" fontId="8" fillId="2" borderId="1" xfId="0" applyNumberFormat="1" applyFont="1" applyFill="1" applyBorder="1" applyAlignment="1">
      <alignment horizontal="right"/>
    </xf>
    <xf numFmtId="3" fontId="8" fillId="2" borderId="1" xfId="0" applyNumberFormat="1" applyFont="1" applyFill="1" applyBorder="1"/>
    <xf numFmtId="0" fontId="22" fillId="0" borderId="0" xfId="0" applyFont="1"/>
  </cellXfs>
  <cellStyles count="3">
    <cellStyle name="Normaallaad 2" xfId="1" xr:uid="{36937EC2-3CF8-463A-9848-63DF1B2EA442}"/>
    <cellStyle name="Normaallaad 4" xfId="2" xr:uid="{6863AE81-D17D-4CC7-8C90-81E3C5B8A44F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53A92A-F3FA-4437-A4C5-FA05F327CEEA}">
  <sheetPr>
    <pageSetUpPr fitToPage="1"/>
  </sheetPr>
  <dimension ref="A1:AA78"/>
  <sheetViews>
    <sheetView tabSelected="1" zoomScale="90" zoomScaleNormal="90" workbookViewId="0">
      <selection activeCell="Y23" sqref="Y23"/>
    </sheetView>
  </sheetViews>
  <sheetFormatPr defaultRowHeight="15" outlineLevelCol="1" x14ac:dyDescent="0.25"/>
  <cols>
    <col min="1" max="1" width="10.7109375" customWidth="1"/>
    <col min="2" max="2" width="25.7109375" customWidth="1"/>
    <col min="3" max="3" width="7.42578125" style="1" customWidth="1"/>
    <col min="4" max="4" width="9.28515625" customWidth="1"/>
    <col min="5" max="5" width="13.140625" customWidth="1"/>
    <col min="6" max="6" width="10.140625" style="1" customWidth="1"/>
    <col min="7" max="7" width="15.5703125" customWidth="1"/>
    <col min="8" max="8" width="11.140625" customWidth="1" outlineLevel="1"/>
    <col min="9" max="9" width="10.85546875" customWidth="1" outlineLevel="1"/>
    <col min="10" max="11" width="11.140625" customWidth="1" outlineLevel="1"/>
    <col min="12" max="12" width="9.85546875" customWidth="1" outlineLevel="1"/>
    <col min="13" max="13" width="9.42578125" customWidth="1" outlineLevel="1"/>
    <col min="14" max="14" width="9.7109375" customWidth="1" outlineLevel="1"/>
    <col min="15" max="15" width="11" customWidth="1"/>
    <col min="16" max="16" width="10" style="2" customWidth="1"/>
    <col min="17" max="18" width="12.5703125" style="2" customWidth="1"/>
    <col min="19" max="19" width="11.28515625" customWidth="1"/>
    <col min="20" max="20" width="13.140625" bestFit="1" customWidth="1"/>
    <col min="21" max="21" width="9.85546875" bestFit="1" customWidth="1"/>
    <col min="22" max="23" width="0" hidden="1" customWidth="1"/>
  </cols>
  <sheetData>
    <row r="1" spans="1:19" x14ac:dyDescent="0.25">
      <c r="S1" s="3" t="s">
        <v>90</v>
      </c>
    </row>
    <row r="2" spans="1:19" ht="13.9" customHeight="1" x14ac:dyDescent="0.25">
      <c r="G2" s="4" t="s">
        <v>0</v>
      </c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spans="1:19" ht="14.45" customHeight="1" x14ac:dyDescent="0.25">
      <c r="D3" s="6"/>
      <c r="E3" s="7"/>
      <c r="F3" s="8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1:19" ht="15" customHeight="1" x14ac:dyDescent="0.25">
      <c r="C4" s="6"/>
      <c r="D4" s="6"/>
      <c r="E4" s="6"/>
      <c r="F4" s="8"/>
      <c r="G4" s="6"/>
      <c r="H4" s="6"/>
    </row>
    <row r="5" spans="1:19" x14ac:dyDescent="0.25">
      <c r="S5" s="9"/>
    </row>
    <row r="6" spans="1:19" x14ac:dyDescent="0.25">
      <c r="A6" s="10" t="s">
        <v>1</v>
      </c>
    </row>
    <row r="7" spans="1:19" x14ac:dyDescent="0.25">
      <c r="A7" s="10"/>
      <c r="G7" s="11" t="s">
        <v>2</v>
      </c>
      <c r="H7" s="12">
        <f>+SUBTOTAL(9, H18:H20)</f>
        <v>14911131</v>
      </c>
      <c r="I7" s="12">
        <f t="shared" ref="I7:S7" si="0">+SUBTOTAL(9, I18:I20)</f>
        <v>0</v>
      </c>
      <c r="J7" s="12">
        <f t="shared" si="0"/>
        <v>14911131</v>
      </c>
      <c r="K7" s="12">
        <f t="shared" si="0"/>
        <v>0</v>
      </c>
      <c r="L7" s="12">
        <f t="shared" si="0"/>
        <v>0</v>
      </c>
      <c r="M7" s="12">
        <f t="shared" si="0"/>
        <v>0</v>
      </c>
      <c r="N7" s="12">
        <f t="shared" si="0"/>
        <v>0</v>
      </c>
      <c r="O7" s="12">
        <f t="shared" si="0"/>
        <v>14911131</v>
      </c>
      <c r="P7" s="12">
        <f t="shared" si="0"/>
        <v>0</v>
      </c>
      <c r="Q7" s="12">
        <f t="shared" si="0"/>
        <v>0</v>
      </c>
      <c r="R7" s="12">
        <f t="shared" si="0"/>
        <v>0</v>
      </c>
      <c r="S7" s="12">
        <f t="shared" si="0"/>
        <v>14911131</v>
      </c>
    </row>
    <row r="8" spans="1:19" x14ac:dyDescent="0.25">
      <c r="A8" s="10"/>
      <c r="G8" s="13" t="s">
        <v>3</v>
      </c>
      <c r="H8" s="14">
        <f>SUM(H7)</f>
        <v>14911131</v>
      </c>
      <c r="I8" s="14">
        <f t="shared" ref="I8:S8" si="1">SUM(I7)</f>
        <v>0</v>
      </c>
      <c r="J8" s="14">
        <f t="shared" si="1"/>
        <v>14911131</v>
      </c>
      <c r="K8" s="14">
        <f t="shared" si="1"/>
        <v>0</v>
      </c>
      <c r="L8" s="14">
        <f t="shared" si="1"/>
        <v>0</v>
      </c>
      <c r="M8" s="14">
        <f t="shared" si="1"/>
        <v>0</v>
      </c>
      <c r="N8" s="14">
        <f t="shared" si="1"/>
        <v>0</v>
      </c>
      <c r="O8" s="14">
        <f t="shared" si="1"/>
        <v>14911131</v>
      </c>
      <c r="P8" s="14">
        <f t="shared" si="1"/>
        <v>0</v>
      </c>
      <c r="Q8" s="14">
        <f t="shared" si="1"/>
        <v>0</v>
      </c>
      <c r="R8" s="14">
        <f t="shared" si="1"/>
        <v>0</v>
      </c>
      <c r="S8" s="14">
        <f t="shared" si="1"/>
        <v>14911131</v>
      </c>
    </row>
    <row r="9" spans="1:19" x14ac:dyDescent="0.25">
      <c r="A9" s="10"/>
      <c r="G9" s="15" t="s">
        <v>4</v>
      </c>
      <c r="H9" s="12">
        <f t="shared" ref="H9:S9" si="2">SUMIF($G$24:$G$59,"Investeeringud*",H$24:H$59)</f>
        <v>-12551289.17</v>
      </c>
      <c r="I9" s="12">
        <f t="shared" si="2"/>
        <v>-30000</v>
      </c>
      <c r="J9" s="12">
        <f t="shared" si="2"/>
        <v>-12581289.17</v>
      </c>
      <c r="K9" s="12">
        <f t="shared" si="2"/>
        <v>0</v>
      </c>
      <c r="L9" s="12">
        <f t="shared" si="2"/>
        <v>0</v>
      </c>
      <c r="M9" s="12">
        <f t="shared" si="2"/>
        <v>-1442008.9005700001</v>
      </c>
      <c r="N9" s="12">
        <f t="shared" si="2"/>
        <v>114416.9002</v>
      </c>
      <c r="O9" s="12">
        <f t="shared" si="2"/>
        <v>-13908881.170369999</v>
      </c>
      <c r="P9" s="12">
        <f t="shared" si="2"/>
        <v>0</v>
      </c>
      <c r="Q9" s="12">
        <f t="shared" si="2"/>
        <v>-1482000</v>
      </c>
      <c r="R9" s="12">
        <f t="shared" si="2"/>
        <v>-150000</v>
      </c>
      <c r="S9" s="12">
        <f t="shared" si="2"/>
        <v>-15390881.170369999</v>
      </c>
    </row>
    <row r="10" spans="1:19" x14ac:dyDescent="0.25">
      <c r="A10" s="10"/>
      <c r="G10" s="16" t="s">
        <v>5</v>
      </c>
      <c r="H10" s="12">
        <f t="shared" ref="H10:S10" si="3">SUMIF($G$24:$G$66,"Kulud*",H$24:H$66)</f>
        <v>-32222608.359200004</v>
      </c>
      <c r="I10" s="12">
        <f t="shared" si="3"/>
        <v>0</v>
      </c>
      <c r="J10" s="12">
        <f t="shared" si="3"/>
        <v>-32222608.359200004</v>
      </c>
      <c r="K10" s="12">
        <f t="shared" si="3"/>
        <v>-749226</v>
      </c>
      <c r="L10" s="12">
        <f t="shared" si="3"/>
        <v>-511000</v>
      </c>
      <c r="M10" s="12">
        <f t="shared" si="3"/>
        <v>-4024848.6151133259</v>
      </c>
      <c r="N10" s="12">
        <f t="shared" si="3"/>
        <v>876086.92467852053</v>
      </c>
      <c r="O10" s="12">
        <f t="shared" si="3"/>
        <v>-36631596.049634814</v>
      </c>
      <c r="P10" s="12">
        <f t="shared" si="3"/>
        <v>-1264289</v>
      </c>
      <c r="Q10" s="12">
        <f t="shared" si="3"/>
        <v>-1595000.95</v>
      </c>
      <c r="R10" s="12">
        <f t="shared" si="3"/>
        <v>0</v>
      </c>
      <c r="S10" s="12">
        <f t="shared" si="3"/>
        <v>-39490885.999634802</v>
      </c>
    </row>
    <row r="11" spans="1:19" x14ac:dyDescent="0.25">
      <c r="A11" s="10"/>
      <c r="G11" s="11" t="s">
        <v>6</v>
      </c>
      <c r="H11" s="12">
        <f t="shared" ref="H11:S11" si="4">SUMIF($G$24:$G$59,"Põhivara kulum*",H$24:H$59)</f>
        <v>-5646930.7099999981</v>
      </c>
      <c r="I11" s="12">
        <f t="shared" si="4"/>
        <v>0</v>
      </c>
      <c r="J11" s="12">
        <f t="shared" si="4"/>
        <v>-5646930.7099999981</v>
      </c>
      <c r="K11" s="12">
        <f t="shared" si="4"/>
        <v>0</v>
      </c>
      <c r="L11" s="12">
        <f t="shared" si="4"/>
        <v>0</v>
      </c>
      <c r="M11" s="12">
        <f t="shared" si="4"/>
        <v>0</v>
      </c>
      <c r="N11" s="12">
        <f t="shared" si="4"/>
        <v>0</v>
      </c>
      <c r="O11" s="12">
        <f t="shared" si="4"/>
        <v>-5646930.7099999981</v>
      </c>
      <c r="P11" s="12">
        <f t="shared" si="4"/>
        <v>0</v>
      </c>
      <c r="Q11" s="12">
        <f t="shared" si="4"/>
        <v>0</v>
      </c>
      <c r="R11" s="12">
        <f t="shared" si="4"/>
        <v>0</v>
      </c>
      <c r="S11" s="12">
        <f t="shared" si="4"/>
        <v>-5646930.7099999981</v>
      </c>
    </row>
    <row r="12" spans="1:19" x14ac:dyDescent="0.25">
      <c r="A12" s="10"/>
      <c r="G12" s="11" t="s">
        <v>7</v>
      </c>
      <c r="H12" s="12">
        <f t="shared" ref="H12:S12" si="5">+SUBTOTAL(9, H68:H74)</f>
        <v>-5514126.290000001</v>
      </c>
      <c r="I12" s="12">
        <f t="shared" si="5"/>
        <v>0</v>
      </c>
      <c r="J12" s="12">
        <f t="shared" si="5"/>
        <v>-5514126.290000001</v>
      </c>
      <c r="K12" s="12">
        <f t="shared" si="5"/>
        <v>0</v>
      </c>
      <c r="L12" s="12">
        <f t="shared" si="5"/>
        <v>0</v>
      </c>
      <c r="M12" s="12">
        <f t="shared" si="5"/>
        <v>0</v>
      </c>
      <c r="N12" s="12">
        <f t="shared" si="5"/>
        <v>201859.44020000001</v>
      </c>
      <c r="O12" s="12">
        <f t="shared" si="5"/>
        <v>-5312266.8498000009</v>
      </c>
      <c r="P12" s="12">
        <f t="shared" si="5"/>
        <v>0</v>
      </c>
      <c r="Q12" s="12">
        <f t="shared" si="5"/>
        <v>0</v>
      </c>
      <c r="R12" s="12">
        <f t="shared" si="5"/>
        <v>0</v>
      </c>
      <c r="S12" s="12">
        <f t="shared" si="5"/>
        <v>-5312266.8498000009</v>
      </c>
    </row>
    <row r="13" spans="1:19" ht="36.75" x14ac:dyDescent="0.25">
      <c r="A13" s="10"/>
      <c r="G13" s="13" t="s">
        <v>8</v>
      </c>
      <c r="H13" s="17">
        <f>SUM(H9:H12)</f>
        <v>-55934954.529200003</v>
      </c>
      <c r="I13" s="17">
        <f t="shared" ref="I13:S13" si="6">SUM(I9:I12)</f>
        <v>-30000</v>
      </c>
      <c r="J13" s="17">
        <f t="shared" si="6"/>
        <v>-55964954.529200003</v>
      </c>
      <c r="K13" s="17">
        <f t="shared" si="6"/>
        <v>-749226</v>
      </c>
      <c r="L13" s="17">
        <f t="shared" si="6"/>
        <v>-511000</v>
      </c>
      <c r="M13" s="17">
        <f t="shared" si="6"/>
        <v>-5466857.5156833259</v>
      </c>
      <c r="N13" s="17">
        <f t="shared" si="6"/>
        <v>1192363.2650785206</v>
      </c>
      <c r="O13" s="17">
        <f t="shared" si="6"/>
        <v>-61499674.779804811</v>
      </c>
      <c r="P13" s="17">
        <f t="shared" si="6"/>
        <v>-1264289</v>
      </c>
      <c r="Q13" s="17">
        <f t="shared" si="6"/>
        <v>-3077000.95</v>
      </c>
      <c r="R13" s="17">
        <f t="shared" si="6"/>
        <v>-150000</v>
      </c>
      <c r="S13" s="17">
        <f t="shared" si="6"/>
        <v>-65840964.729804799</v>
      </c>
    </row>
    <row r="14" spans="1:19" ht="76.5" x14ac:dyDescent="0.25">
      <c r="A14" s="18" t="s">
        <v>9</v>
      </c>
      <c r="B14" s="18" t="s">
        <v>10</v>
      </c>
      <c r="C14" s="19" t="s">
        <v>11</v>
      </c>
      <c r="D14" s="18" t="s">
        <v>12</v>
      </c>
      <c r="E14" s="18" t="s">
        <v>13</v>
      </c>
      <c r="F14" s="18" t="s">
        <v>14</v>
      </c>
      <c r="G14" s="18" t="s">
        <v>15</v>
      </c>
      <c r="H14" s="18" t="s">
        <v>16</v>
      </c>
      <c r="I14" s="20" t="s">
        <v>17</v>
      </c>
      <c r="J14" s="21" t="s">
        <v>18</v>
      </c>
      <c r="K14" s="21" t="s">
        <v>19</v>
      </c>
      <c r="L14" s="21" t="s">
        <v>20</v>
      </c>
      <c r="M14" s="21" t="s">
        <v>21</v>
      </c>
      <c r="N14" s="22" t="s">
        <v>22</v>
      </c>
      <c r="O14" s="21" t="s">
        <v>23</v>
      </c>
      <c r="P14" s="21" t="s">
        <v>24</v>
      </c>
      <c r="Q14" s="23" t="s">
        <v>25</v>
      </c>
      <c r="R14" s="23" t="s">
        <v>25</v>
      </c>
      <c r="S14" s="21" t="s">
        <v>26</v>
      </c>
    </row>
    <row r="15" spans="1:19" ht="25.5" customHeight="1" x14ac:dyDescent="0.25">
      <c r="A15" s="24"/>
      <c r="B15" s="24"/>
      <c r="C15" s="25"/>
      <c r="D15" s="26"/>
      <c r="E15" s="27"/>
      <c r="F15" s="28"/>
      <c r="G15" s="29" t="s">
        <v>27</v>
      </c>
      <c r="H15" s="30" t="s">
        <v>28</v>
      </c>
      <c r="I15" s="31" t="s">
        <v>29</v>
      </c>
      <c r="J15" s="32"/>
      <c r="K15" s="31" t="s">
        <v>30</v>
      </c>
      <c r="L15" s="33" t="s">
        <v>31</v>
      </c>
      <c r="M15" s="30" t="s">
        <v>30</v>
      </c>
      <c r="N15" s="34" t="s">
        <v>32</v>
      </c>
      <c r="O15" s="32"/>
      <c r="P15" s="33" t="s">
        <v>31</v>
      </c>
      <c r="Q15" s="34" t="s">
        <v>33</v>
      </c>
      <c r="R15" s="33" t="s">
        <v>31</v>
      </c>
      <c r="S15" s="26"/>
    </row>
    <row r="16" spans="1:19" ht="37.5" customHeight="1" x14ac:dyDescent="0.25">
      <c r="A16" s="26" t="s">
        <v>34</v>
      </c>
      <c r="B16" s="26" t="s">
        <v>34</v>
      </c>
      <c r="C16" s="35" t="s">
        <v>34</v>
      </c>
      <c r="D16" s="26"/>
      <c r="E16" s="27"/>
      <c r="F16" s="28"/>
      <c r="G16" s="29" t="s">
        <v>35</v>
      </c>
      <c r="H16" s="36">
        <v>2024</v>
      </c>
      <c r="I16" s="37" t="s">
        <v>36</v>
      </c>
      <c r="J16" s="38"/>
      <c r="K16" s="37" t="s">
        <v>36</v>
      </c>
      <c r="L16" s="37" t="s">
        <v>37</v>
      </c>
      <c r="M16" s="37" t="s">
        <v>38</v>
      </c>
      <c r="N16" s="37" t="s">
        <v>39</v>
      </c>
      <c r="O16" s="38"/>
      <c r="P16" s="37" t="s">
        <v>40</v>
      </c>
      <c r="Q16" s="39" t="s">
        <v>41</v>
      </c>
      <c r="R16" s="37" t="s">
        <v>42</v>
      </c>
      <c r="S16" s="77"/>
    </row>
    <row r="17" spans="1:27" x14ac:dyDescent="0.25">
      <c r="A17" s="40" t="s">
        <v>43</v>
      </c>
      <c r="B17" s="40"/>
      <c r="C17" s="41"/>
      <c r="D17" s="42"/>
      <c r="E17" s="42"/>
      <c r="F17" s="43"/>
      <c r="G17" s="42"/>
      <c r="H17" s="44">
        <f t="shared" ref="H17:S17" si="7">+SUBTOTAL(9, H18:H20)</f>
        <v>14911131</v>
      </c>
      <c r="I17" s="44">
        <f t="shared" si="7"/>
        <v>0</v>
      </c>
      <c r="J17" s="44">
        <f t="shared" si="7"/>
        <v>14911131</v>
      </c>
      <c r="K17" s="44">
        <f t="shared" si="7"/>
        <v>0</v>
      </c>
      <c r="L17" s="44">
        <f t="shared" si="7"/>
        <v>0</v>
      </c>
      <c r="M17" s="44">
        <f t="shared" si="7"/>
        <v>0</v>
      </c>
      <c r="N17" s="44">
        <f t="shared" si="7"/>
        <v>0</v>
      </c>
      <c r="O17" s="44">
        <f t="shared" si="7"/>
        <v>14911131</v>
      </c>
      <c r="P17" s="44">
        <f t="shared" si="7"/>
        <v>0</v>
      </c>
      <c r="Q17" s="44">
        <f t="shared" si="7"/>
        <v>0</v>
      </c>
      <c r="R17" s="44">
        <f t="shared" si="7"/>
        <v>0</v>
      </c>
      <c r="S17" s="78">
        <f t="shared" si="7"/>
        <v>14911131</v>
      </c>
    </row>
    <row r="18" spans="1:27" x14ac:dyDescent="0.25">
      <c r="A18" s="45" t="s">
        <v>44</v>
      </c>
      <c r="B18" s="45" t="s">
        <v>45</v>
      </c>
      <c r="C18" s="36" t="s">
        <v>46</v>
      </c>
      <c r="D18" s="45" t="s">
        <v>34</v>
      </c>
      <c r="E18" s="45" t="s">
        <v>34</v>
      </c>
      <c r="F18" s="36"/>
      <c r="G18" s="45" t="s">
        <v>47</v>
      </c>
      <c r="H18" s="46">
        <v>8345</v>
      </c>
      <c r="I18" s="26"/>
      <c r="J18" s="46">
        <f>+H18+I18</f>
        <v>8345</v>
      </c>
      <c r="K18" s="46"/>
      <c r="L18" s="46"/>
      <c r="M18" s="46"/>
      <c r="N18" s="46"/>
      <c r="O18" s="46">
        <f t="shared" ref="O18:O74" si="8">+J18+L18+M18+N18</f>
        <v>8345</v>
      </c>
      <c r="P18" s="46"/>
      <c r="Q18" s="46"/>
      <c r="R18" s="46"/>
      <c r="S18" s="62">
        <f>+O18+P18+Q18</f>
        <v>8345</v>
      </c>
    </row>
    <row r="19" spans="1:27" x14ac:dyDescent="0.25">
      <c r="A19" s="45"/>
      <c r="B19" s="45"/>
      <c r="C19" s="36" t="s">
        <v>48</v>
      </c>
      <c r="D19" s="45" t="s">
        <v>34</v>
      </c>
      <c r="E19" s="45" t="s">
        <v>34</v>
      </c>
      <c r="F19" s="36"/>
      <c r="G19" s="45" t="s">
        <v>49</v>
      </c>
      <c r="H19" s="46">
        <v>13050786</v>
      </c>
      <c r="I19" s="26"/>
      <c r="J19" s="46">
        <f t="shared" ref="J19:J74" si="9">+H19+I19</f>
        <v>13050786</v>
      </c>
      <c r="K19" s="46"/>
      <c r="L19" s="46"/>
      <c r="M19" s="46"/>
      <c r="N19" s="46"/>
      <c r="O19" s="46">
        <f t="shared" si="8"/>
        <v>13050786</v>
      </c>
      <c r="P19" s="46"/>
      <c r="Q19" s="46"/>
      <c r="R19" s="46"/>
      <c r="S19" s="62">
        <f t="shared" ref="S19:S74" si="10">+O19+P19+Q19</f>
        <v>13050786</v>
      </c>
    </row>
    <row r="20" spans="1:27" x14ac:dyDescent="0.25">
      <c r="A20" s="45"/>
      <c r="B20" s="45"/>
      <c r="C20" s="36" t="s">
        <v>50</v>
      </c>
      <c r="D20" s="45" t="s">
        <v>34</v>
      </c>
      <c r="E20" s="45" t="s">
        <v>34</v>
      </c>
      <c r="F20" s="36"/>
      <c r="G20" s="45" t="s">
        <v>51</v>
      </c>
      <c r="H20" s="46">
        <v>1852000</v>
      </c>
      <c r="I20" s="26"/>
      <c r="J20" s="46">
        <f t="shared" si="9"/>
        <v>1852000</v>
      </c>
      <c r="K20" s="46"/>
      <c r="L20" s="46"/>
      <c r="M20" s="46"/>
      <c r="N20" s="46"/>
      <c r="O20" s="46">
        <f t="shared" si="8"/>
        <v>1852000</v>
      </c>
      <c r="P20" s="46"/>
      <c r="Q20" s="46"/>
      <c r="R20" s="46"/>
      <c r="S20" s="62">
        <f t="shared" si="10"/>
        <v>1852000</v>
      </c>
    </row>
    <row r="21" spans="1:27" x14ac:dyDescent="0.25">
      <c r="A21" s="47" t="s">
        <v>52</v>
      </c>
      <c r="B21" s="47"/>
      <c r="C21" s="48"/>
      <c r="D21" s="49"/>
      <c r="E21" s="49"/>
      <c r="F21" s="41"/>
      <c r="G21" s="49"/>
      <c r="H21" s="50">
        <f>+SUBTOTAL(9, H22:H55)</f>
        <v>-47973221.739199996</v>
      </c>
      <c r="I21" s="50">
        <f t="shared" ref="I21:S21" si="11">+SUBTOTAL(9, I22:I55)</f>
        <v>0</v>
      </c>
      <c r="J21" s="50">
        <f t="shared" si="11"/>
        <v>-47973221.739199996</v>
      </c>
      <c r="K21" s="50">
        <f t="shared" si="11"/>
        <v>-749226</v>
      </c>
      <c r="L21" s="50">
        <f t="shared" si="11"/>
        <v>-511000</v>
      </c>
      <c r="M21" s="50">
        <f t="shared" si="11"/>
        <v>-4627015.4156833254</v>
      </c>
      <c r="N21" s="50">
        <f t="shared" si="11"/>
        <v>976939.82487852057</v>
      </c>
      <c r="O21" s="50">
        <f t="shared" si="11"/>
        <v>-52883523.330004804</v>
      </c>
      <c r="P21" s="50">
        <f t="shared" si="11"/>
        <v>-1264289</v>
      </c>
      <c r="Q21" s="50">
        <f t="shared" si="11"/>
        <v>-3075810.9499999997</v>
      </c>
      <c r="R21" s="50">
        <f t="shared" si="11"/>
        <v>-150000</v>
      </c>
      <c r="S21" s="79">
        <f t="shared" si="11"/>
        <v>-57223623.280004807</v>
      </c>
    </row>
    <row r="22" spans="1:27" x14ac:dyDescent="0.25">
      <c r="A22" s="47" t="s">
        <v>53</v>
      </c>
      <c r="B22" s="47"/>
      <c r="C22" s="41"/>
      <c r="D22" s="49"/>
      <c r="E22" s="49"/>
      <c r="F22" s="41"/>
      <c r="G22" s="49"/>
      <c r="H22" s="50">
        <f>+SUBTOTAL(9, H23:H55)</f>
        <v>-47973221.739199996</v>
      </c>
      <c r="I22" s="50">
        <f t="shared" ref="I22:S22" si="12">+SUBTOTAL(9, I23:I55)</f>
        <v>0</v>
      </c>
      <c r="J22" s="50">
        <f t="shared" si="12"/>
        <v>-47973221.739199996</v>
      </c>
      <c r="K22" s="50">
        <f t="shared" si="12"/>
        <v>-749226</v>
      </c>
      <c r="L22" s="50">
        <f t="shared" si="12"/>
        <v>-511000</v>
      </c>
      <c r="M22" s="50">
        <f t="shared" si="12"/>
        <v>-4627015.4156833254</v>
      </c>
      <c r="N22" s="50">
        <f t="shared" si="12"/>
        <v>976939.82487852057</v>
      </c>
      <c r="O22" s="50">
        <f t="shared" si="12"/>
        <v>-52883523.330004804</v>
      </c>
      <c r="P22" s="50">
        <f t="shared" si="12"/>
        <v>-1264289</v>
      </c>
      <c r="Q22" s="50">
        <f t="shared" si="12"/>
        <v>-3075810.9499999997</v>
      </c>
      <c r="R22" s="50">
        <f t="shared" si="12"/>
        <v>-150000</v>
      </c>
      <c r="S22" s="79">
        <f t="shared" si="12"/>
        <v>-57223623.280004807</v>
      </c>
    </row>
    <row r="23" spans="1:27" x14ac:dyDescent="0.25">
      <c r="A23" s="51" t="s">
        <v>54</v>
      </c>
      <c r="B23" s="51"/>
      <c r="C23" s="41"/>
      <c r="D23" s="49"/>
      <c r="E23" s="49"/>
      <c r="F23" s="41"/>
      <c r="G23" s="49"/>
      <c r="H23" s="50">
        <f>+SUBTOTAL(9, H24:H26)</f>
        <v>-11834289.17</v>
      </c>
      <c r="I23" s="50">
        <f t="shared" ref="I23:S23" si="13">+SUBTOTAL(9, I24:I26)</f>
        <v>0</v>
      </c>
      <c r="J23" s="50">
        <f t="shared" si="13"/>
        <v>-11834289.17</v>
      </c>
      <c r="K23" s="50">
        <f t="shared" si="13"/>
        <v>0</v>
      </c>
      <c r="L23" s="50">
        <f t="shared" si="13"/>
        <v>0</v>
      </c>
      <c r="M23" s="50">
        <f t="shared" si="13"/>
        <v>-1199083.9005700001</v>
      </c>
      <c r="N23" s="50">
        <f t="shared" si="13"/>
        <v>114416.9002</v>
      </c>
      <c r="O23" s="50">
        <f t="shared" si="13"/>
        <v>-12918956.170369999</v>
      </c>
      <c r="P23" s="50">
        <f t="shared" si="13"/>
        <v>0</v>
      </c>
      <c r="Q23" s="50">
        <f t="shared" si="13"/>
        <v>-1482000</v>
      </c>
      <c r="R23" s="50">
        <f t="shared" si="13"/>
        <v>-150000</v>
      </c>
      <c r="S23" s="79">
        <f t="shared" si="13"/>
        <v>-14400956.170369999</v>
      </c>
    </row>
    <row r="24" spans="1:27" x14ac:dyDescent="0.25">
      <c r="A24" s="45" t="s">
        <v>55</v>
      </c>
      <c r="B24" s="45" t="s">
        <v>56</v>
      </c>
      <c r="C24" s="36" t="s">
        <v>57</v>
      </c>
      <c r="D24" s="45" t="s">
        <v>58</v>
      </c>
      <c r="E24" s="45" t="s">
        <v>59</v>
      </c>
      <c r="F24" s="36">
        <v>15</v>
      </c>
      <c r="G24" s="45" t="s">
        <v>4</v>
      </c>
      <c r="H24" s="46">
        <v>-4129169</v>
      </c>
      <c r="I24" s="26"/>
      <c r="J24" s="46">
        <f t="shared" si="9"/>
        <v>-4129169</v>
      </c>
      <c r="K24" s="46"/>
      <c r="L24" s="46"/>
      <c r="M24" s="46">
        <f>-1442008.90057+242925</f>
        <v>-1199083.9005700001</v>
      </c>
      <c r="N24" s="46">
        <v>114416.9002</v>
      </c>
      <c r="O24" s="46">
        <f t="shared" si="8"/>
        <v>-5213836.0003699996</v>
      </c>
      <c r="P24" s="46"/>
      <c r="Q24" s="52">
        <f>-1482000</f>
        <v>-1482000</v>
      </c>
      <c r="R24" s="52">
        <f>-150000</f>
        <v>-150000</v>
      </c>
      <c r="S24" s="62">
        <f t="shared" si="10"/>
        <v>-6695836.0003699996</v>
      </c>
      <c r="U24" s="9"/>
    </row>
    <row r="25" spans="1:27" x14ac:dyDescent="0.25">
      <c r="A25" s="45"/>
      <c r="B25" s="45"/>
      <c r="C25" s="36" t="s">
        <v>48</v>
      </c>
      <c r="D25" s="45" t="s">
        <v>58</v>
      </c>
      <c r="E25" s="45" t="s">
        <v>59</v>
      </c>
      <c r="F25" s="36">
        <v>15</v>
      </c>
      <c r="G25" s="45" t="s">
        <v>60</v>
      </c>
      <c r="H25" s="46">
        <v>-7607120.1699999999</v>
      </c>
      <c r="I25" s="26"/>
      <c r="J25" s="46">
        <f t="shared" si="9"/>
        <v>-7607120.1699999999</v>
      </c>
      <c r="K25" s="46"/>
      <c r="L25" s="46"/>
      <c r="M25" s="46"/>
      <c r="N25" s="46"/>
      <c r="O25" s="46">
        <f t="shared" si="8"/>
        <v>-7607120.1699999999</v>
      </c>
      <c r="P25" s="46"/>
      <c r="Q25" s="46"/>
      <c r="R25" s="46"/>
      <c r="S25" s="62">
        <f t="shared" si="10"/>
        <v>-7607120.1699999999</v>
      </c>
    </row>
    <row r="26" spans="1:27" x14ac:dyDescent="0.25">
      <c r="A26" s="45"/>
      <c r="B26" s="45"/>
      <c r="C26" s="36" t="s">
        <v>50</v>
      </c>
      <c r="D26" s="45" t="s">
        <v>58</v>
      </c>
      <c r="E26" s="45" t="s">
        <v>59</v>
      </c>
      <c r="F26" s="36">
        <v>15</v>
      </c>
      <c r="G26" s="45" t="s">
        <v>4</v>
      </c>
      <c r="H26" s="46">
        <v>-98000</v>
      </c>
      <c r="I26" s="26"/>
      <c r="J26" s="46">
        <f t="shared" si="9"/>
        <v>-98000</v>
      </c>
      <c r="K26" s="46"/>
      <c r="L26" s="46"/>
      <c r="M26" s="46"/>
      <c r="N26" s="46"/>
      <c r="O26" s="46">
        <f t="shared" si="8"/>
        <v>-98000</v>
      </c>
      <c r="P26" s="46"/>
      <c r="Q26" s="46"/>
      <c r="R26" s="46"/>
      <c r="S26" s="62">
        <f t="shared" si="10"/>
        <v>-98000</v>
      </c>
    </row>
    <row r="27" spans="1:27" x14ac:dyDescent="0.25">
      <c r="A27" s="40" t="s">
        <v>61</v>
      </c>
      <c r="B27" s="40"/>
      <c r="C27" s="41"/>
      <c r="D27" s="42"/>
      <c r="E27" s="42"/>
      <c r="F27" s="43"/>
      <c r="G27" s="42"/>
      <c r="H27" s="44">
        <f>+SUBTOTAL(9, H28:H55)</f>
        <v>-36138932.569200002</v>
      </c>
      <c r="I27" s="44">
        <f t="shared" ref="I27:S27" si="14">+SUBTOTAL(9, I28:I55)</f>
        <v>0</v>
      </c>
      <c r="J27" s="44">
        <f t="shared" si="14"/>
        <v>-36138932.569200002</v>
      </c>
      <c r="K27" s="44">
        <f t="shared" si="14"/>
        <v>-749226</v>
      </c>
      <c r="L27" s="44">
        <f t="shared" si="14"/>
        <v>-511000</v>
      </c>
      <c r="M27" s="44">
        <f t="shared" si="14"/>
        <v>-3427931.5151133258</v>
      </c>
      <c r="N27" s="44">
        <f t="shared" si="14"/>
        <v>862522.92467852053</v>
      </c>
      <c r="O27" s="44">
        <f t="shared" si="14"/>
        <v>-39964567.159634799</v>
      </c>
      <c r="P27" s="44">
        <f t="shared" si="14"/>
        <v>-1264289</v>
      </c>
      <c r="Q27" s="44">
        <f t="shared" si="14"/>
        <v>-1593810.95</v>
      </c>
      <c r="R27" s="44">
        <f t="shared" si="14"/>
        <v>0</v>
      </c>
      <c r="S27" s="78">
        <f t="shared" si="14"/>
        <v>-42822667.109634802</v>
      </c>
    </row>
    <row r="28" spans="1:27" x14ac:dyDescent="0.25">
      <c r="A28" s="45" t="s">
        <v>62</v>
      </c>
      <c r="B28" s="45" t="s">
        <v>63</v>
      </c>
      <c r="C28" s="36" t="s">
        <v>57</v>
      </c>
      <c r="D28" s="45" t="s">
        <v>34</v>
      </c>
      <c r="E28" s="45" t="s">
        <v>34</v>
      </c>
      <c r="F28" s="36">
        <v>50</v>
      </c>
      <c r="G28" s="45" t="s">
        <v>5</v>
      </c>
      <c r="H28" s="46">
        <v>-1028195</v>
      </c>
      <c r="I28" s="26"/>
      <c r="J28" s="46">
        <f t="shared" si="9"/>
        <v>-1028195</v>
      </c>
      <c r="K28" s="46"/>
      <c r="L28" s="46"/>
      <c r="M28" s="46">
        <v>-192566</v>
      </c>
      <c r="N28" s="46"/>
      <c r="O28" s="46">
        <f>+J28+L28+M28+N28+K28</f>
        <v>-1220761</v>
      </c>
      <c r="P28" s="46"/>
      <c r="Q28" s="52">
        <v>395000</v>
      </c>
      <c r="R28" s="52"/>
      <c r="S28" s="52">
        <f t="shared" si="10"/>
        <v>-825761</v>
      </c>
      <c r="U28" s="9"/>
    </row>
    <row r="29" spans="1:27" x14ac:dyDescent="0.25">
      <c r="A29" s="45"/>
      <c r="B29" s="45"/>
      <c r="C29" s="36">
        <v>20</v>
      </c>
      <c r="D29" s="45"/>
      <c r="E29" s="45"/>
      <c r="F29" s="36">
        <v>55</v>
      </c>
      <c r="G29" s="45" t="s">
        <v>5</v>
      </c>
      <c r="H29" s="46">
        <v>-115653</v>
      </c>
      <c r="I29" s="26"/>
      <c r="J29" s="46">
        <f t="shared" si="9"/>
        <v>-115653</v>
      </c>
      <c r="K29" s="46"/>
      <c r="L29" s="46"/>
      <c r="M29" s="46">
        <v>-35138</v>
      </c>
      <c r="N29" s="46">
        <v>82158</v>
      </c>
      <c r="O29" s="46">
        <f>+J29+L29+M29+N29+K29</f>
        <v>-68633</v>
      </c>
      <c r="P29" s="46"/>
      <c r="Q29" s="52">
        <v>-387881.97</v>
      </c>
      <c r="R29" s="52"/>
      <c r="S29" s="52">
        <f t="shared" si="10"/>
        <v>-456514.97</v>
      </c>
      <c r="U29" s="9"/>
      <c r="Z29" s="9"/>
      <c r="AA29" s="9"/>
    </row>
    <row r="30" spans="1:27" x14ac:dyDescent="0.25">
      <c r="A30" s="45"/>
      <c r="B30" s="45"/>
      <c r="C30" s="36" t="s">
        <v>57</v>
      </c>
      <c r="D30" s="45" t="s">
        <v>64</v>
      </c>
      <c r="E30" s="45" t="s">
        <v>65</v>
      </c>
      <c r="F30" s="36">
        <v>50</v>
      </c>
      <c r="G30" s="45" t="s">
        <v>5</v>
      </c>
      <c r="H30" s="46"/>
      <c r="I30" s="26"/>
      <c r="J30" s="46">
        <v>0</v>
      </c>
      <c r="K30" s="46">
        <v>-350000</v>
      </c>
      <c r="L30" s="46"/>
      <c r="M30" s="46">
        <v>-67313</v>
      </c>
      <c r="N30" s="46"/>
      <c r="O30" s="46">
        <f t="shared" ref="O30:O55" si="15">+J30+L30+M30+N30+K30</f>
        <v>-417313</v>
      </c>
      <c r="P30" s="46"/>
      <c r="Q30" s="52"/>
      <c r="R30" s="52"/>
      <c r="S30" s="52">
        <f t="shared" si="10"/>
        <v>-417313</v>
      </c>
    </row>
    <row r="31" spans="1:27" x14ac:dyDescent="0.25">
      <c r="A31" s="45"/>
      <c r="B31" s="45"/>
      <c r="C31" s="36" t="s">
        <v>48</v>
      </c>
      <c r="D31" s="45" t="s">
        <v>34</v>
      </c>
      <c r="E31" s="45" t="s">
        <v>34</v>
      </c>
      <c r="F31" s="36">
        <v>50</v>
      </c>
      <c r="G31" s="45" t="s">
        <v>5</v>
      </c>
      <c r="H31" s="46">
        <v>-766692</v>
      </c>
      <c r="I31" s="26"/>
      <c r="J31" s="46">
        <v>-766692</v>
      </c>
      <c r="K31" s="46"/>
      <c r="L31" s="46"/>
      <c r="M31" s="46"/>
      <c r="N31" s="46"/>
      <c r="O31" s="46">
        <v>-766692</v>
      </c>
      <c r="P31" s="46"/>
      <c r="Q31" s="52"/>
      <c r="R31" s="52"/>
      <c r="S31" s="52">
        <v>-766692</v>
      </c>
    </row>
    <row r="32" spans="1:27" x14ac:dyDescent="0.25">
      <c r="A32" s="45"/>
      <c r="B32" s="45"/>
      <c r="C32" s="36">
        <v>40</v>
      </c>
      <c r="D32" s="45"/>
      <c r="E32" s="45"/>
      <c r="F32" s="36">
        <v>55</v>
      </c>
      <c r="G32" s="45" t="s">
        <v>5</v>
      </c>
      <c r="H32" s="46">
        <v>-430580</v>
      </c>
      <c r="I32" s="26"/>
      <c r="J32" s="46">
        <v>-430580</v>
      </c>
      <c r="K32" s="46"/>
      <c r="L32" s="46"/>
      <c r="M32" s="46"/>
      <c r="N32" s="46"/>
      <c r="O32" s="46">
        <v>-430580</v>
      </c>
      <c r="P32" s="46"/>
      <c r="Q32" s="52"/>
      <c r="R32" s="52"/>
      <c r="S32" s="52">
        <v>-430580</v>
      </c>
    </row>
    <row r="33" spans="1:25" x14ac:dyDescent="0.25">
      <c r="A33" s="45"/>
      <c r="B33" s="45"/>
      <c r="C33" s="36" t="s">
        <v>66</v>
      </c>
      <c r="D33" s="45" t="s">
        <v>34</v>
      </c>
      <c r="E33" s="45" t="s">
        <v>34</v>
      </c>
      <c r="F33" s="36">
        <v>61</v>
      </c>
      <c r="G33" s="45" t="s">
        <v>6</v>
      </c>
      <c r="H33" s="46">
        <v>-255200.32751082155</v>
      </c>
      <c r="I33" s="26"/>
      <c r="J33" s="46">
        <f t="shared" si="9"/>
        <v>-255200.32751082155</v>
      </c>
      <c r="K33" s="46"/>
      <c r="L33" s="46"/>
      <c r="M33" s="46"/>
      <c r="N33" s="46"/>
      <c r="O33" s="46">
        <f t="shared" si="15"/>
        <v>-255200.32751082155</v>
      </c>
      <c r="P33" s="46"/>
      <c r="Q33" s="52"/>
      <c r="R33" s="52"/>
      <c r="S33" s="52">
        <f t="shared" si="10"/>
        <v>-255200.32751082155</v>
      </c>
    </row>
    <row r="34" spans="1:25" x14ac:dyDescent="0.25">
      <c r="A34" s="45" t="s">
        <v>67</v>
      </c>
      <c r="B34" s="45" t="s">
        <v>68</v>
      </c>
      <c r="C34" s="36" t="s">
        <v>57</v>
      </c>
      <c r="D34" s="45" t="s">
        <v>34</v>
      </c>
      <c r="E34" s="45" t="s">
        <v>34</v>
      </c>
      <c r="F34" s="36">
        <v>50</v>
      </c>
      <c r="G34" s="45" t="s">
        <v>5</v>
      </c>
      <c r="H34" s="46">
        <v>-8042457</v>
      </c>
      <c r="I34" s="26"/>
      <c r="J34" s="46">
        <f t="shared" si="9"/>
        <v>-8042457</v>
      </c>
      <c r="K34" s="46"/>
      <c r="L34" s="46"/>
      <c r="M34" s="46">
        <v>-33461</v>
      </c>
      <c r="N34" s="46">
        <v>63000</v>
      </c>
      <c r="O34" s="46">
        <f t="shared" si="15"/>
        <v>-8012918</v>
      </c>
      <c r="P34" s="46"/>
      <c r="Q34" s="52">
        <v>-1012600</v>
      </c>
      <c r="R34" s="52"/>
      <c r="S34" s="52">
        <f t="shared" si="10"/>
        <v>-9025518</v>
      </c>
      <c r="U34" s="9"/>
    </row>
    <row r="35" spans="1:25" x14ac:dyDescent="0.25">
      <c r="A35" s="45"/>
      <c r="B35" s="45"/>
      <c r="C35" s="36">
        <v>20</v>
      </c>
      <c r="D35" s="45"/>
      <c r="E35" s="45"/>
      <c r="F35" s="36">
        <v>55</v>
      </c>
      <c r="G35" s="45" t="s">
        <v>5</v>
      </c>
      <c r="H35" s="46">
        <v>-4331160</v>
      </c>
      <c r="I35" s="26"/>
      <c r="J35" s="46">
        <f t="shared" si="9"/>
        <v>-4331160</v>
      </c>
      <c r="K35" s="46"/>
      <c r="L35" s="46"/>
      <c r="M35" s="46">
        <v>-1090082</v>
      </c>
      <c r="N35" s="46">
        <v>347150</v>
      </c>
      <c r="O35" s="46">
        <f t="shared" si="15"/>
        <v>-5074092</v>
      </c>
      <c r="P35" s="46"/>
      <c r="Q35" s="52">
        <v>-402103.98</v>
      </c>
      <c r="R35" s="52"/>
      <c r="S35" s="52">
        <f t="shared" si="10"/>
        <v>-5476195.9800000004</v>
      </c>
      <c r="U35" s="9"/>
    </row>
    <row r="36" spans="1:25" x14ac:dyDescent="0.25">
      <c r="A36" s="45"/>
      <c r="B36" s="45"/>
      <c r="C36" s="36" t="s">
        <v>57</v>
      </c>
      <c r="D36" s="45" t="s">
        <v>69</v>
      </c>
      <c r="E36" s="45" t="s">
        <v>70</v>
      </c>
      <c r="F36" s="36">
        <v>55</v>
      </c>
      <c r="G36" s="45" t="s">
        <v>5</v>
      </c>
      <c r="H36" s="46">
        <v>-2313.0392000000002</v>
      </c>
      <c r="I36" s="26"/>
      <c r="J36" s="46">
        <f t="shared" si="9"/>
        <v>-2313.0392000000002</v>
      </c>
      <c r="K36" s="46"/>
      <c r="L36" s="46"/>
      <c r="M36" s="46"/>
      <c r="N36" s="46"/>
      <c r="O36" s="46">
        <f t="shared" si="15"/>
        <v>-2313.0392000000002</v>
      </c>
      <c r="P36" s="46"/>
      <c r="Q36" s="52"/>
      <c r="R36" s="52"/>
      <c r="S36" s="52">
        <f t="shared" si="10"/>
        <v>-2313.0392000000002</v>
      </c>
    </row>
    <row r="37" spans="1:25" x14ac:dyDescent="0.25">
      <c r="A37" s="45"/>
      <c r="B37" s="45"/>
      <c r="C37" s="36" t="s">
        <v>57</v>
      </c>
      <c r="D37" s="53" t="s">
        <v>71</v>
      </c>
      <c r="E37" s="54" t="s">
        <v>72</v>
      </c>
      <c r="F37" s="55">
        <v>55</v>
      </c>
      <c r="G37" s="45" t="s">
        <v>5</v>
      </c>
      <c r="H37" s="46"/>
      <c r="I37" s="26"/>
      <c r="J37" s="46">
        <v>0</v>
      </c>
      <c r="K37" s="46"/>
      <c r="L37" s="46">
        <v>-511000</v>
      </c>
      <c r="M37" s="46"/>
      <c r="N37" s="46"/>
      <c r="O37" s="46">
        <f t="shared" si="15"/>
        <v>-511000</v>
      </c>
      <c r="P37" s="46"/>
      <c r="Q37" s="52"/>
      <c r="R37" s="52"/>
      <c r="S37" s="52">
        <f t="shared" si="10"/>
        <v>-511000</v>
      </c>
    </row>
    <row r="38" spans="1:25" x14ac:dyDescent="0.25">
      <c r="A38" s="45"/>
      <c r="B38" s="45"/>
      <c r="C38" s="36" t="s">
        <v>57</v>
      </c>
      <c r="D38" s="45" t="s">
        <v>64</v>
      </c>
      <c r="E38" s="45" t="s">
        <v>65</v>
      </c>
      <c r="F38" s="36">
        <v>50</v>
      </c>
      <c r="G38" s="45" t="s">
        <v>5</v>
      </c>
      <c r="H38" s="46"/>
      <c r="I38" s="26"/>
      <c r="J38" s="46">
        <v>0</v>
      </c>
      <c r="K38" s="46">
        <v>-350000</v>
      </c>
      <c r="L38" s="46"/>
      <c r="M38" s="46">
        <v>63332.909087527485</v>
      </c>
      <c r="N38" s="46"/>
      <c r="O38" s="46">
        <f t="shared" si="15"/>
        <v>-286667.09091247251</v>
      </c>
      <c r="P38" s="46"/>
      <c r="Q38" s="52"/>
      <c r="R38" s="52"/>
      <c r="S38" s="52">
        <f t="shared" si="10"/>
        <v>-286667.09091247251</v>
      </c>
    </row>
    <row r="39" spans="1:25" x14ac:dyDescent="0.25">
      <c r="A39" s="45"/>
      <c r="B39" s="45"/>
      <c r="C39" s="36" t="s">
        <v>48</v>
      </c>
      <c r="D39" s="45" t="s">
        <v>34</v>
      </c>
      <c r="E39" s="45" t="s">
        <v>34</v>
      </c>
      <c r="F39" s="36">
        <v>50</v>
      </c>
      <c r="G39" s="45" t="s">
        <v>5</v>
      </c>
      <c r="H39" s="46">
        <v>-1265440</v>
      </c>
      <c r="I39" s="26"/>
      <c r="J39" s="46">
        <f t="shared" si="9"/>
        <v>-1265440</v>
      </c>
      <c r="K39" s="46"/>
      <c r="L39" s="46"/>
      <c r="M39" s="46"/>
      <c r="N39" s="46"/>
      <c r="O39" s="46">
        <f t="shared" si="15"/>
        <v>-1265440</v>
      </c>
      <c r="P39" s="46"/>
      <c r="Q39" s="52"/>
      <c r="R39" s="52"/>
      <c r="S39" s="52">
        <f t="shared" si="10"/>
        <v>-1265440</v>
      </c>
    </row>
    <row r="40" spans="1:25" x14ac:dyDescent="0.25">
      <c r="A40" s="45"/>
      <c r="B40" s="45"/>
      <c r="C40" s="36">
        <v>40</v>
      </c>
      <c r="D40" s="45"/>
      <c r="E40" s="45"/>
      <c r="F40" s="36">
        <v>55</v>
      </c>
      <c r="G40" s="45" t="s">
        <v>5</v>
      </c>
      <c r="H40" s="46">
        <v>-126519</v>
      </c>
      <c r="I40" s="26"/>
      <c r="J40" s="46">
        <f t="shared" si="9"/>
        <v>-126519</v>
      </c>
      <c r="K40" s="46"/>
      <c r="L40" s="46"/>
      <c r="M40" s="46"/>
      <c r="N40" s="46"/>
      <c r="O40" s="46">
        <f t="shared" si="15"/>
        <v>-126519</v>
      </c>
      <c r="P40" s="46"/>
      <c r="Q40" s="52"/>
      <c r="R40" s="52"/>
      <c r="S40" s="52">
        <f t="shared" si="10"/>
        <v>-126519</v>
      </c>
    </row>
    <row r="41" spans="1:25" x14ac:dyDescent="0.25">
      <c r="A41" s="45"/>
      <c r="B41" s="45"/>
      <c r="C41" s="36" t="s">
        <v>50</v>
      </c>
      <c r="D41" s="45" t="s">
        <v>34</v>
      </c>
      <c r="E41" s="45" t="s">
        <v>34</v>
      </c>
      <c r="F41" s="36">
        <v>55</v>
      </c>
      <c r="G41" s="45" t="s">
        <v>5</v>
      </c>
      <c r="H41" s="46">
        <v>-1414453.5999999999</v>
      </c>
      <c r="I41" s="26"/>
      <c r="J41" s="46">
        <f t="shared" si="9"/>
        <v>-1414453.5999999999</v>
      </c>
      <c r="K41" s="46"/>
      <c r="L41" s="46"/>
      <c r="M41" s="46"/>
      <c r="N41" s="46"/>
      <c r="O41" s="46">
        <f t="shared" si="15"/>
        <v>-1414453.5999999999</v>
      </c>
      <c r="P41" s="46"/>
      <c r="Q41" s="52"/>
      <c r="R41" s="52"/>
      <c r="S41" s="52">
        <f t="shared" si="10"/>
        <v>-1414453.5999999999</v>
      </c>
    </row>
    <row r="42" spans="1:25" x14ac:dyDescent="0.25">
      <c r="A42" s="45"/>
      <c r="B42" s="45"/>
      <c r="C42" s="36" t="s">
        <v>66</v>
      </c>
      <c r="D42" s="45" t="s">
        <v>34</v>
      </c>
      <c r="E42" s="45" t="s">
        <v>34</v>
      </c>
      <c r="F42" s="36">
        <v>61</v>
      </c>
      <c r="G42" s="45" t="s">
        <v>6</v>
      </c>
      <c r="H42" s="46">
        <v>-4173147.865522366</v>
      </c>
      <c r="I42" s="26"/>
      <c r="J42" s="46">
        <f t="shared" si="9"/>
        <v>-4173147.865522366</v>
      </c>
      <c r="K42" s="46"/>
      <c r="L42" s="46"/>
      <c r="M42" s="46"/>
      <c r="N42" s="46"/>
      <c r="O42" s="46">
        <f t="shared" si="15"/>
        <v>-4173147.865522366</v>
      </c>
      <c r="P42" s="46"/>
      <c r="Q42" s="52"/>
      <c r="R42" s="52"/>
      <c r="S42" s="52">
        <f t="shared" si="10"/>
        <v>-4173147.865522366</v>
      </c>
    </row>
    <row r="43" spans="1:25" ht="25.5" x14ac:dyDescent="0.25">
      <c r="A43" s="56" t="s">
        <v>73</v>
      </c>
      <c r="B43" s="57" t="s">
        <v>74</v>
      </c>
      <c r="C43" s="36" t="s">
        <v>57</v>
      </c>
      <c r="D43" s="45" t="s">
        <v>34</v>
      </c>
      <c r="E43" s="45" t="s">
        <v>34</v>
      </c>
      <c r="F43" s="36">
        <v>50</v>
      </c>
      <c r="G43" s="45" t="s">
        <v>5</v>
      </c>
      <c r="H43" s="46">
        <v>-104767</v>
      </c>
      <c r="I43" s="58"/>
      <c r="J43" s="46">
        <f t="shared" si="9"/>
        <v>-104767</v>
      </c>
      <c r="K43" s="46"/>
      <c r="L43" s="46"/>
      <c r="M43" s="46">
        <v>-156213</v>
      </c>
      <c r="N43" s="46"/>
      <c r="O43" s="46">
        <f t="shared" si="15"/>
        <v>-260980</v>
      </c>
      <c r="P43" s="46"/>
      <c r="Q43" s="52">
        <v>0</v>
      </c>
      <c r="R43" s="52"/>
      <c r="S43" s="52">
        <f t="shared" si="10"/>
        <v>-260980</v>
      </c>
      <c r="U43" s="9"/>
    </row>
    <row r="44" spans="1:25" x14ac:dyDescent="0.25">
      <c r="A44" s="56"/>
      <c r="B44" s="57"/>
      <c r="C44" s="36"/>
      <c r="D44" s="45"/>
      <c r="E44" s="45"/>
      <c r="F44" s="36">
        <v>55</v>
      </c>
      <c r="G44" s="45" t="s">
        <v>5</v>
      </c>
      <c r="H44" s="46">
        <v>-44586</v>
      </c>
      <c r="I44" s="58"/>
      <c r="J44" s="46">
        <f t="shared" si="9"/>
        <v>-44586</v>
      </c>
      <c r="K44" s="46"/>
      <c r="L44" s="46"/>
      <c r="M44" s="46">
        <v>-90447</v>
      </c>
      <c r="N44" s="46">
        <v>9824</v>
      </c>
      <c r="O44" s="46">
        <f t="shared" si="15"/>
        <v>-125209</v>
      </c>
      <c r="P44" s="46"/>
      <c r="Q44" s="52">
        <v>-2766</v>
      </c>
      <c r="R44" s="52"/>
      <c r="S44" s="52">
        <f t="shared" si="10"/>
        <v>-127975</v>
      </c>
      <c r="U44" s="9"/>
    </row>
    <row r="45" spans="1:25" x14ac:dyDescent="0.25">
      <c r="A45" s="56"/>
      <c r="B45" s="57"/>
      <c r="C45" s="36" t="s">
        <v>57</v>
      </c>
      <c r="D45" s="45" t="s">
        <v>64</v>
      </c>
      <c r="E45" s="45" t="s">
        <v>65</v>
      </c>
      <c r="F45" s="36">
        <v>50</v>
      </c>
      <c r="G45" s="45" t="s">
        <v>5</v>
      </c>
      <c r="H45" s="46"/>
      <c r="I45" s="58"/>
      <c r="J45" s="46">
        <v>0</v>
      </c>
      <c r="K45" s="46"/>
      <c r="L45" s="46"/>
      <c r="M45" s="46">
        <v>-348.40945376049422</v>
      </c>
      <c r="N45" s="46"/>
      <c r="O45" s="46">
        <f t="shared" si="15"/>
        <v>-348.40945376049422</v>
      </c>
      <c r="P45" s="46"/>
      <c r="Q45" s="52"/>
      <c r="R45" s="52"/>
      <c r="S45" s="52">
        <f t="shared" si="10"/>
        <v>-348.40945376049422</v>
      </c>
    </row>
    <row r="46" spans="1:25" x14ac:dyDescent="0.25">
      <c r="A46" s="45"/>
      <c r="B46" s="45"/>
      <c r="C46" s="36" t="s">
        <v>66</v>
      </c>
      <c r="D46" s="45" t="s">
        <v>34</v>
      </c>
      <c r="E46" s="45" t="s">
        <v>34</v>
      </c>
      <c r="F46" s="36">
        <v>61</v>
      </c>
      <c r="G46" s="45" t="s">
        <v>6</v>
      </c>
      <c r="H46" s="46">
        <v>-3438.3781299942448</v>
      </c>
      <c r="I46" s="58"/>
      <c r="J46" s="46">
        <f t="shared" si="9"/>
        <v>-3438.3781299942448</v>
      </c>
      <c r="K46" s="46"/>
      <c r="L46" s="46"/>
      <c r="M46" s="46"/>
      <c r="N46" s="46"/>
      <c r="O46" s="46">
        <f t="shared" si="15"/>
        <v>-3438.3781299942448</v>
      </c>
      <c r="P46" s="46"/>
      <c r="Q46" s="52"/>
      <c r="R46" s="52"/>
      <c r="S46" s="52">
        <f t="shared" si="10"/>
        <v>-3438.3781299942448</v>
      </c>
    </row>
    <row r="47" spans="1:25" x14ac:dyDescent="0.25">
      <c r="A47" s="45" t="s">
        <v>75</v>
      </c>
      <c r="B47" s="45" t="s">
        <v>76</v>
      </c>
      <c r="C47" s="36" t="s">
        <v>57</v>
      </c>
      <c r="D47" s="45" t="s">
        <v>34</v>
      </c>
      <c r="E47" s="45" t="s">
        <v>34</v>
      </c>
      <c r="F47" s="36">
        <v>50</v>
      </c>
      <c r="G47" s="45" t="s">
        <v>5</v>
      </c>
      <c r="H47" s="46">
        <v>-5203482.05</v>
      </c>
      <c r="I47" s="58"/>
      <c r="J47" s="46">
        <f t="shared" si="9"/>
        <v>-5203482.05</v>
      </c>
      <c r="K47" s="46"/>
      <c r="L47" s="46"/>
      <c r="M47" s="46">
        <v>-376504.52999999997</v>
      </c>
      <c r="N47" s="46">
        <v>9960.6002000000008</v>
      </c>
      <c r="O47" s="46">
        <f t="shared" si="15"/>
        <v>-5570025.9797999999</v>
      </c>
      <c r="P47" s="46"/>
      <c r="Q47" s="52">
        <v>0</v>
      </c>
      <c r="R47" s="52"/>
      <c r="S47" s="52">
        <f t="shared" si="10"/>
        <v>-5570025.9797999999</v>
      </c>
      <c r="U47" s="9"/>
    </row>
    <row r="48" spans="1:25" x14ac:dyDescent="0.25">
      <c r="A48" s="45"/>
      <c r="B48" s="45"/>
      <c r="C48" s="36">
        <v>20</v>
      </c>
      <c r="D48" s="45"/>
      <c r="E48" s="45"/>
      <c r="F48" s="36">
        <v>55</v>
      </c>
      <c r="G48" s="45" t="s">
        <v>5</v>
      </c>
      <c r="H48" s="46">
        <v>-5251500.6900000004</v>
      </c>
      <c r="I48" s="58"/>
      <c r="J48" s="46">
        <f t="shared" si="9"/>
        <v>-5251500.6900000004</v>
      </c>
      <c r="K48" s="46"/>
      <c r="L48" s="46"/>
      <c r="M48" s="46">
        <v>-1453519.8599999999</v>
      </c>
      <c r="N48" s="46">
        <v>350430.32447852049</v>
      </c>
      <c r="O48" s="46">
        <f t="shared" si="15"/>
        <v>-6354590.2255214807</v>
      </c>
      <c r="P48" s="46"/>
      <c r="Q48" s="52">
        <v>-183459</v>
      </c>
      <c r="R48" s="52"/>
      <c r="S48" s="52">
        <f t="shared" si="10"/>
        <v>-6538049.2255214807</v>
      </c>
      <c r="U48" s="9"/>
      <c r="Y48" s="9"/>
    </row>
    <row r="49" spans="1:24" x14ac:dyDescent="0.25">
      <c r="A49" s="45"/>
      <c r="B49" s="45"/>
      <c r="C49" s="36" t="s">
        <v>57</v>
      </c>
      <c r="D49" s="45" t="s">
        <v>64</v>
      </c>
      <c r="E49" s="45" t="s">
        <v>65</v>
      </c>
      <c r="F49" s="36">
        <v>50</v>
      </c>
      <c r="G49" s="45" t="s">
        <v>5</v>
      </c>
      <c r="H49" s="46"/>
      <c r="I49" s="58"/>
      <c r="J49" s="46">
        <v>0</v>
      </c>
      <c r="K49" s="46"/>
      <c r="L49" s="46"/>
      <c r="M49" s="46">
        <v>4328.3752529073681</v>
      </c>
      <c r="N49" s="46"/>
      <c r="O49" s="46">
        <f t="shared" si="15"/>
        <v>4328.3752529073681</v>
      </c>
      <c r="P49" s="46"/>
      <c r="Q49" s="52"/>
      <c r="R49" s="52"/>
      <c r="S49" s="52">
        <f t="shared" si="10"/>
        <v>4328.3752529073681</v>
      </c>
    </row>
    <row r="50" spans="1:24" x14ac:dyDescent="0.25">
      <c r="A50" s="45"/>
      <c r="B50" s="45"/>
      <c r="C50" s="36" t="s">
        <v>57</v>
      </c>
      <c r="D50" s="45" t="s">
        <v>64</v>
      </c>
      <c r="E50" s="45" t="s">
        <v>65</v>
      </c>
      <c r="F50" s="36">
        <v>55</v>
      </c>
      <c r="G50" s="45" t="s">
        <v>5</v>
      </c>
      <c r="H50" s="46"/>
      <c r="I50" s="58"/>
      <c r="J50" s="46"/>
      <c r="K50" s="46">
        <v>-49226</v>
      </c>
      <c r="L50" s="46"/>
      <c r="M50" s="46"/>
      <c r="N50" s="46"/>
      <c r="O50" s="46">
        <f t="shared" si="15"/>
        <v>-49226</v>
      </c>
      <c r="P50" s="46"/>
      <c r="Q50" s="52"/>
      <c r="R50" s="52"/>
      <c r="S50" s="52">
        <f t="shared" si="10"/>
        <v>-49226</v>
      </c>
    </row>
    <row r="51" spans="1:24" x14ac:dyDescent="0.25">
      <c r="A51" s="45"/>
      <c r="B51" s="45"/>
      <c r="C51" s="36" t="s">
        <v>57</v>
      </c>
      <c r="D51" s="45" t="s">
        <v>77</v>
      </c>
      <c r="E51" s="45" t="s">
        <v>78</v>
      </c>
      <c r="F51" s="36">
        <v>50</v>
      </c>
      <c r="G51" s="45" t="s">
        <v>5</v>
      </c>
      <c r="H51" s="46"/>
      <c r="I51" s="58"/>
      <c r="J51" s="46"/>
      <c r="K51" s="46"/>
      <c r="L51" s="46"/>
      <c r="M51" s="46"/>
      <c r="N51" s="46"/>
      <c r="O51" s="46">
        <f t="shared" si="15"/>
        <v>0</v>
      </c>
      <c r="P51" s="46">
        <v>-150000</v>
      </c>
      <c r="Q51" s="52"/>
      <c r="R51" s="52"/>
      <c r="S51" s="52">
        <f t="shared" si="10"/>
        <v>-150000</v>
      </c>
    </row>
    <row r="52" spans="1:24" x14ac:dyDescent="0.25">
      <c r="A52" s="45"/>
      <c r="B52" s="45"/>
      <c r="C52" s="36" t="s">
        <v>57</v>
      </c>
      <c r="D52" s="45" t="s">
        <v>77</v>
      </c>
      <c r="E52" s="45" t="s">
        <v>78</v>
      </c>
      <c r="F52" s="36">
        <v>55</v>
      </c>
      <c r="G52" s="45" t="s">
        <v>5</v>
      </c>
      <c r="H52" s="46"/>
      <c r="I52" s="58"/>
      <c r="J52" s="46"/>
      <c r="K52" s="46"/>
      <c r="L52" s="46"/>
      <c r="M52" s="46"/>
      <c r="N52" s="46"/>
      <c r="O52" s="46">
        <f t="shared" si="15"/>
        <v>0</v>
      </c>
      <c r="P52" s="46">
        <v>-1114289</v>
      </c>
      <c r="Q52" s="52"/>
      <c r="R52" s="52"/>
      <c r="S52" s="52">
        <f t="shared" si="10"/>
        <v>-1114289</v>
      </c>
    </row>
    <row r="53" spans="1:24" x14ac:dyDescent="0.25">
      <c r="A53" s="45"/>
      <c r="B53" s="45"/>
      <c r="C53" s="36" t="s">
        <v>48</v>
      </c>
      <c r="D53" s="45" t="s">
        <v>34</v>
      </c>
      <c r="E53" s="45" t="s">
        <v>34</v>
      </c>
      <c r="F53" s="36">
        <v>50</v>
      </c>
      <c r="G53" s="45" t="s">
        <v>5</v>
      </c>
      <c r="H53" s="46">
        <v>-1644047.48</v>
      </c>
      <c r="I53" s="58"/>
      <c r="J53" s="46">
        <f t="shared" si="9"/>
        <v>-1644047.48</v>
      </c>
      <c r="K53" s="46"/>
      <c r="L53" s="46"/>
      <c r="M53" s="46"/>
      <c r="N53" s="46"/>
      <c r="O53" s="46">
        <f t="shared" si="15"/>
        <v>-1644047.48</v>
      </c>
      <c r="P53" s="46"/>
      <c r="Q53" s="52"/>
      <c r="R53" s="52"/>
      <c r="S53" s="52">
        <f t="shared" si="10"/>
        <v>-1644047.48</v>
      </c>
    </row>
    <row r="54" spans="1:24" x14ac:dyDescent="0.25">
      <c r="A54" s="45"/>
      <c r="B54" s="45"/>
      <c r="C54" s="36">
        <v>40</v>
      </c>
      <c r="D54" s="45"/>
      <c r="E54" s="45"/>
      <c r="F54" s="36">
        <v>55</v>
      </c>
      <c r="G54" s="45" t="s">
        <v>5</v>
      </c>
      <c r="H54" s="46">
        <v>-720156</v>
      </c>
      <c r="I54" s="58"/>
      <c r="J54" s="46">
        <f t="shared" si="9"/>
        <v>-720156</v>
      </c>
      <c r="K54" s="46"/>
      <c r="L54" s="46"/>
      <c r="M54" s="46"/>
      <c r="N54" s="46"/>
      <c r="O54" s="46">
        <f t="shared" si="15"/>
        <v>-720156</v>
      </c>
      <c r="P54" s="46"/>
      <c r="Q54" s="52"/>
      <c r="R54" s="52"/>
      <c r="S54" s="52">
        <f t="shared" si="10"/>
        <v>-720156</v>
      </c>
    </row>
    <row r="55" spans="1:24" x14ac:dyDescent="0.25">
      <c r="A55" s="45"/>
      <c r="B55" s="45"/>
      <c r="C55" s="36" t="s">
        <v>66</v>
      </c>
      <c r="D55" s="45" t="s">
        <v>34</v>
      </c>
      <c r="E55" s="45" t="s">
        <v>34</v>
      </c>
      <c r="F55" s="36">
        <v>61</v>
      </c>
      <c r="G55" s="45" t="s">
        <v>6</v>
      </c>
      <c r="H55" s="46">
        <v>-1215144.1388368162</v>
      </c>
      <c r="I55" s="58"/>
      <c r="J55" s="46">
        <f t="shared" si="9"/>
        <v>-1215144.1388368162</v>
      </c>
      <c r="K55" s="46"/>
      <c r="L55" s="46"/>
      <c r="M55" s="46"/>
      <c r="N55" s="46"/>
      <c r="O55" s="46">
        <f t="shared" si="15"/>
        <v>-1215144.1388368162</v>
      </c>
      <c r="P55" s="46"/>
      <c r="Q55" s="52"/>
      <c r="R55" s="52"/>
      <c r="S55" s="52">
        <f t="shared" si="10"/>
        <v>-1215144.1388368162</v>
      </c>
    </row>
    <row r="56" spans="1:24" x14ac:dyDescent="0.25">
      <c r="A56" s="59" t="s">
        <v>79</v>
      </c>
      <c r="B56" s="49"/>
      <c r="C56" s="41"/>
      <c r="D56" s="49"/>
      <c r="E56" s="49"/>
      <c r="F56" s="41"/>
      <c r="G56" s="49"/>
      <c r="H56" s="50">
        <f>+SUBTOTAL(9, H57:H66)</f>
        <v>-2447606.5</v>
      </c>
      <c r="I56" s="50">
        <f t="shared" ref="I56:S56" si="16">+SUBTOTAL(9, I57:I66)</f>
        <v>-30000</v>
      </c>
      <c r="J56" s="50">
        <f t="shared" si="16"/>
        <v>-2477606.5</v>
      </c>
      <c r="K56" s="50">
        <f t="shared" si="16"/>
        <v>0</v>
      </c>
      <c r="L56" s="50">
        <f t="shared" si="16"/>
        <v>0</v>
      </c>
      <c r="M56" s="50">
        <f t="shared" si="16"/>
        <v>-839842.1</v>
      </c>
      <c r="N56" s="50">
        <f t="shared" si="16"/>
        <v>13564</v>
      </c>
      <c r="O56" s="50">
        <f t="shared" si="16"/>
        <v>-3303884.6</v>
      </c>
      <c r="P56" s="50">
        <f t="shared" si="16"/>
        <v>0</v>
      </c>
      <c r="Q56" s="50">
        <f t="shared" si="16"/>
        <v>-1190</v>
      </c>
      <c r="R56" s="50">
        <f t="shared" si="16"/>
        <v>0</v>
      </c>
      <c r="S56" s="79">
        <f t="shared" si="16"/>
        <v>-3305074.6</v>
      </c>
    </row>
    <row r="57" spans="1:24" x14ac:dyDescent="0.25">
      <c r="A57" s="60" t="s">
        <v>80</v>
      </c>
      <c r="B57" s="49"/>
      <c r="C57" s="41"/>
      <c r="D57" s="49"/>
      <c r="E57" s="49"/>
      <c r="F57" s="41"/>
      <c r="G57" s="49"/>
      <c r="H57" s="50">
        <f>+SUBTOTAL(9, H58:H66)</f>
        <v>-2447606.5</v>
      </c>
      <c r="I57" s="50">
        <f t="shared" ref="I57:S57" si="17">+SUBTOTAL(9, I58:I66)</f>
        <v>-30000</v>
      </c>
      <c r="J57" s="50">
        <f t="shared" si="17"/>
        <v>-2477606.5</v>
      </c>
      <c r="K57" s="50">
        <f t="shared" si="17"/>
        <v>0</v>
      </c>
      <c r="L57" s="50">
        <f t="shared" si="17"/>
        <v>0</v>
      </c>
      <c r="M57" s="50">
        <f t="shared" si="17"/>
        <v>-839842.1</v>
      </c>
      <c r="N57" s="50">
        <f t="shared" si="17"/>
        <v>13564</v>
      </c>
      <c r="O57" s="50">
        <f t="shared" si="17"/>
        <v>-3303884.6</v>
      </c>
      <c r="P57" s="50">
        <f t="shared" si="17"/>
        <v>0</v>
      </c>
      <c r="Q57" s="50">
        <f t="shared" si="17"/>
        <v>-1190</v>
      </c>
      <c r="R57" s="50">
        <f t="shared" si="17"/>
        <v>0</v>
      </c>
      <c r="S57" s="79">
        <f t="shared" si="17"/>
        <v>-3305074.6</v>
      </c>
    </row>
    <row r="58" spans="1:24" x14ac:dyDescent="0.25">
      <c r="A58" s="61" t="s">
        <v>54</v>
      </c>
      <c r="B58" s="61"/>
      <c r="C58" s="41"/>
      <c r="D58" s="49"/>
      <c r="E58" s="49"/>
      <c r="F58" s="41"/>
      <c r="G58" s="49"/>
      <c r="H58" s="50">
        <f>+SUBTOTAL(9, H59)</f>
        <v>-717000</v>
      </c>
      <c r="I58" s="50">
        <f t="shared" ref="I58:S58" si="18">+SUBTOTAL(9, I59)</f>
        <v>-30000</v>
      </c>
      <c r="J58" s="50">
        <f t="shared" si="18"/>
        <v>-747000</v>
      </c>
      <c r="K58" s="50">
        <f t="shared" si="18"/>
        <v>0</v>
      </c>
      <c r="L58" s="50">
        <f t="shared" si="18"/>
        <v>0</v>
      </c>
      <c r="M58" s="50">
        <f t="shared" si="18"/>
        <v>-242925</v>
      </c>
      <c r="N58" s="50">
        <f t="shared" si="18"/>
        <v>0</v>
      </c>
      <c r="O58" s="50">
        <f t="shared" si="18"/>
        <v>-989925</v>
      </c>
      <c r="P58" s="50">
        <f t="shared" si="18"/>
        <v>0</v>
      </c>
      <c r="Q58" s="50">
        <f t="shared" si="18"/>
        <v>0</v>
      </c>
      <c r="R58" s="50">
        <f t="shared" si="18"/>
        <v>0</v>
      </c>
      <c r="S58" s="79">
        <f t="shared" si="18"/>
        <v>-989925</v>
      </c>
    </row>
    <row r="59" spans="1:24" s="64" customFormat="1" x14ac:dyDescent="0.25">
      <c r="A59" s="54" t="s">
        <v>81</v>
      </c>
      <c r="B59" s="45" t="s">
        <v>82</v>
      </c>
      <c r="C59" s="36" t="s">
        <v>57</v>
      </c>
      <c r="D59" s="45" t="s">
        <v>58</v>
      </c>
      <c r="E59" s="45" t="s">
        <v>59</v>
      </c>
      <c r="F59" s="36"/>
      <c r="G59" s="45" t="s">
        <v>83</v>
      </c>
      <c r="H59" s="62">
        <v>-717000</v>
      </c>
      <c r="I59" s="63">
        <v>-30000</v>
      </c>
      <c r="J59" s="46">
        <f t="shared" si="9"/>
        <v>-747000</v>
      </c>
      <c r="K59" s="46"/>
      <c r="L59" s="46"/>
      <c r="M59" s="46">
        <v>-242925</v>
      </c>
      <c r="N59" s="46"/>
      <c r="O59" s="46">
        <f t="shared" si="8"/>
        <v>-989925</v>
      </c>
      <c r="P59" s="46"/>
      <c r="Q59" s="46"/>
      <c r="R59" s="46"/>
      <c r="S59" s="62">
        <f t="shared" si="10"/>
        <v>-989925</v>
      </c>
      <c r="T59"/>
    </row>
    <row r="60" spans="1:24" s="64" customFormat="1" x14ac:dyDescent="0.25">
      <c r="A60" s="65" t="s">
        <v>61</v>
      </c>
      <c r="B60" s="65"/>
      <c r="C60" s="66"/>
      <c r="D60" s="66"/>
      <c r="E60" s="66"/>
      <c r="F60" s="67"/>
      <c r="G60" s="66"/>
      <c r="H60" s="50">
        <f>+SUBTOTAL(9, H61:H66)</f>
        <v>-1730606.5</v>
      </c>
      <c r="I60" s="50">
        <f t="shared" ref="I60:S60" si="19">+SUBTOTAL(9, I61:I66)</f>
        <v>0</v>
      </c>
      <c r="J60" s="50">
        <f t="shared" si="19"/>
        <v>-1730606.5</v>
      </c>
      <c r="K60" s="50">
        <f t="shared" si="19"/>
        <v>0</v>
      </c>
      <c r="L60" s="50">
        <f t="shared" si="19"/>
        <v>0</v>
      </c>
      <c r="M60" s="50">
        <f t="shared" si="19"/>
        <v>-596917.1</v>
      </c>
      <c r="N60" s="50">
        <f t="shared" si="19"/>
        <v>13564</v>
      </c>
      <c r="O60" s="50">
        <f t="shared" si="19"/>
        <v>-2313959.6</v>
      </c>
      <c r="P60" s="50">
        <f t="shared" si="19"/>
        <v>0</v>
      </c>
      <c r="Q60" s="50">
        <f t="shared" si="19"/>
        <v>-1190</v>
      </c>
      <c r="R60" s="50">
        <f t="shared" si="19"/>
        <v>0</v>
      </c>
      <c r="S60" s="79">
        <f t="shared" si="19"/>
        <v>-2315149.6</v>
      </c>
      <c r="T60"/>
    </row>
    <row r="61" spans="1:24" s="64" customFormat="1" ht="25.5" x14ac:dyDescent="0.25">
      <c r="A61" s="56" t="s">
        <v>84</v>
      </c>
      <c r="B61" s="57" t="s">
        <v>85</v>
      </c>
      <c r="C61" s="36" t="s">
        <v>57</v>
      </c>
      <c r="D61" s="45"/>
      <c r="E61" s="68"/>
      <c r="F61" s="36">
        <v>50</v>
      </c>
      <c r="G61" s="45" t="s">
        <v>5</v>
      </c>
      <c r="H61" s="62">
        <v>-256500</v>
      </c>
      <c r="I61" s="58"/>
      <c r="J61" s="46">
        <f t="shared" si="9"/>
        <v>-256500</v>
      </c>
      <c r="K61" s="46"/>
      <c r="L61" s="46"/>
      <c r="M61" s="46">
        <v>-122983.03999999999</v>
      </c>
      <c r="N61" s="46"/>
      <c r="O61" s="46">
        <f t="shared" si="8"/>
        <v>-379483.04</v>
      </c>
      <c r="P61" s="46"/>
      <c r="Q61" s="52">
        <v>0</v>
      </c>
      <c r="R61" s="52"/>
      <c r="S61" s="52">
        <f t="shared" si="10"/>
        <v>-379483.04</v>
      </c>
      <c r="T61"/>
      <c r="U61" s="9"/>
      <c r="X61"/>
    </row>
    <row r="62" spans="1:24" s="64" customFormat="1" x14ac:dyDescent="0.25">
      <c r="A62" s="56"/>
      <c r="B62" s="57"/>
      <c r="C62" s="36" t="s">
        <v>57</v>
      </c>
      <c r="D62" s="45"/>
      <c r="E62" s="68"/>
      <c r="F62" s="36">
        <v>45</v>
      </c>
      <c r="G62" s="45" t="s">
        <v>5</v>
      </c>
      <c r="H62" s="62">
        <v>-350000</v>
      </c>
      <c r="I62" s="58"/>
      <c r="J62" s="46">
        <f t="shared" si="9"/>
        <v>-350000</v>
      </c>
      <c r="K62" s="46"/>
      <c r="L62" s="46"/>
      <c r="M62" s="46">
        <v>-272324.84000000003</v>
      </c>
      <c r="N62" s="46"/>
      <c r="O62" s="46">
        <f t="shared" si="8"/>
        <v>-622324.84000000008</v>
      </c>
      <c r="P62" s="46"/>
      <c r="Q62" s="52"/>
      <c r="R62" s="52"/>
      <c r="S62" s="52">
        <f t="shared" si="10"/>
        <v>-622324.84000000008</v>
      </c>
      <c r="T62"/>
      <c r="U62" s="9"/>
      <c r="X62"/>
    </row>
    <row r="63" spans="1:24" s="64" customFormat="1" x14ac:dyDescent="0.25">
      <c r="A63" s="56"/>
      <c r="B63" s="57"/>
      <c r="C63" s="36" t="s">
        <v>57</v>
      </c>
      <c r="D63" s="45"/>
      <c r="E63" s="68"/>
      <c r="F63" s="36">
        <v>55</v>
      </c>
      <c r="G63" s="45" t="s">
        <v>5</v>
      </c>
      <c r="H63" s="62">
        <v>-243500</v>
      </c>
      <c r="I63" s="58"/>
      <c r="J63" s="46">
        <f t="shared" si="9"/>
        <v>-243500</v>
      </c>
      <c r="K63" s="46"/>
      <c r="L63" s="46"/>
      <c r="M63" s="46">
        <v>-201609.22</v>
      </c>
      <c r="N63" s="46">
        <v>13564</v>
      </c>
      <c r="O63" s="46">
        <f t="shared" si="8"/>
        <v>-431545.22</v>
      </c>
      <c r="P63" s="46"/>
      <c r="Q63" s="52">
        <v>-1190</v>
      </c>
      <c r="R63" s="52"/>
      <c r="S63" s="52">
        <f t="shared" si="10"/>
        <v>-432735.22</v>
      </c>
      <c r="T63"/>
      <c r="U63" s="9"/>
      <c r="X63"/>
    </row>
    <row r="64" spans="1:24" s="64" customFormat="1" x14ac:dyDescent="0.25">
      <c r="A64" s="56"/>
      <c r="B64" s="57"/>
      <c r="C64" s="36">
        <v>40</v>
      </c>
      <c r="D64" s="45"/>
      <c r="E64" s="68"/>
      <c r="F64" s="36">
        <v>50</v>
      </c>
      <c r="G64" s="45" t="s">
        <v>5</v>
      </c>
      <c r="H64" s="62">
        <v>-234952.5</v>
      </c>
      <c r="I64" s="58"/>
      <c r="J64" s="46">
        <f t="shared" si="9"/>
        <v>-234952.5</v>
      </c>
      <c r="K64" s="46"/>
      <c r="L64" s="46"/>
      <c r="M64" s="46"/>
      <c r="N64" s="46"/>
      <c r="O64" s="46">
        <f t="shared" si="8"/>
        <v>-234952.5</v>
      </c>
      <c r="P64" s="46"/>
      <c r="Q64" s="46"/>
      <c r="R64" s="46"/>
      <c r="S64" s="62">
        <f t="shared" si="10"/>
        <v>-234952.5</v>
      </c>
      <c r="T64"/>
    </row>
    <row r="65" spans="1:20" s="64" customFormat="1" x14ac:dyDescent="0.25">
      <c r="A65" s="56"/>
      <c r="B65" s="57"/>
      <c r="C65" s="36">
        <v>40</v>
      </c>
      <c r="D65" s="45"/>
      <c r="E65" s="68"/>
      <c r="F65" s="36">
        <v>45</v>
      </c>
      <c r="G65" s="45" t="s">
        <v>5</v>
      </c>
      <c r="H65" s="62">
        <v>-358361.5</v>
      </c>
      <c r="I65" s="58"/>
      <c r="J65" s="46">
        <f t="shared" si="9"/>
        <v>-358361.5</v>
      </c>
      <c r="K65" s="46"/>
      <c r="L65" s="46"/>
      <c r="M65" s="46"/>
      <c r="N65" s="46"/>
      <c r="O65" s="46">
        <f t="shared" si="8"/>
        <v>-358361.5</v>
      </c>
      <c r="P65" s="46"/>
      <c r="Q65" s="46"/>
      <c r="R65" s="46"/>
      <c r="S65" s="62">
        <f t="shared" si="10"/>
        <v>-358361.5</v>
      </c>
      <c r="T65"/>
    </row>
    <row r="66" spans="1:20" s="64" customFormat="1" x14ac:dyDescent="0.25">
      <c r="A66" s="56"/>
      <c r="B66" s="57"/>
      <c r="C66" s="36" t="s">
        <v>48</v>
      </c>
      <c r="D66" s="45" t="s">
        <v>34</v>
      </c>
      <c r="E66" s="68" t="s">
        <v>34</v>
      </c>
      <c r="F66" s="36">
        <v>55</v>
      </c>
      <c r="G66" s="45" t="s">
        <v>5</v>
      </c>
      <c r="H66" s="62">
        <v>-287292.5</v>
      </c>
      <c r="I66" s="58"/>
      <c r="J66" s="46">
        <f t="shared" si="9"/>
        <v>-287292.5</v>
      </c>
      <c r="K66" s="46"/>
      <c r="L66" s="46"/>
      <c r="M66" s="46"/>
      <c r="N66" s="46"/>
      <c r="O66" s="46">
        <f t="shared" si="8"/>
        <v>-287292.5</v>
      </c>
      <c r="P66" s="46"/>
      <c r="Q66" s="46"/>
      <c r="R66" s="46"/>
      <c r="S66" s="62">
        <f t="shared" si="10"/>
        <v>-287292.5</v>
      </c>
      <c r="T66"/>
    </row>
    <row r="67" spans="1:20" s="64" customFormat="1" x14ac:dyDescent="0.25">
      <c r="A67" s="48" t="s">
        <v>86</v>
      </c>
      <c r="B67" s="69"/>
      <c r="C67" s="70"/>
      <c r="D67" s="69"/>
      <c r="E67" s="69"/>
      <c r="F67" s="70"/>
      <c r="G67" s="69"/>
      <c r="H67" s="50">
        <f>+SUBTOTAL(9, H68:H74)</f>
        <v>-5514126.290000001</v>
      </c>
      <c r="I67" s="50">
        <f t="shared" ref="I67:S67" si="20">+SUBTOTAL(9, I68:I74)</f>
        <v>0</v>
      </c>
      <c r="J67" s="50">
        <f t="shared" si="20"/>
        <v>-5514126.290000001</v>
      </c>
      <c r="K67" s="50">
        <f t="shared" si="20"/>
        <v>0</v>
      </c>
      <c r="L67" s="50">
        <f t="shared" si="20"/>
        <v>0</v>
      </c>
      <c r="M67" s="50">
        <f t="shared" si="20"/>
        <v>0</v>
      </c>
      <c r="N67" s="50">
        <f t="shared" si="20"/>
        <v>201859.44020000001</v>
      </c>
      <c r="O67" s="50">
        <f t="shared" si="20"/>
        <v>-5312266.8498000009</v>
      </c>
      <c r="P67" s="50">
        <f t="shared" si="20"/>
        <v>0</v>
      </c>
      <c r="Q67" s="50">
        <f t="shared" si="20"/>
        <v>0</v>
      </c>
      <c r="R67" s="50">
        <f t="shared" si="20"/>
        <v>0</v>
      </c>
      <c r="S67" s="79">
        <f t="shared" si="20"/>
        <v>-5312266.8498000009</v>
      </c>
      <c r="T67" s="71"/>
    </row>
    <row r="68" spans="1:20" x14ac:dyDescent="0.25">
      <c r="A68" s="45" t="s">
        <v>44</v>
      </c>
      <c r="B68" s="45" t="s">
        <v>45</v>
      </c>
      <c r="C68" s="36" t="s">
        <v>46</v>
      </c>
      <c r="D68" s="45"/>
      <c r="E68" s="45"/>
      <c r="F68" s="36"/>
      <c r="G68" s="45" t="s">
        <v>5</v>
      </c>
      <c r="H68" s="46">
        <v>-2595941</v>
      </c>
      <c r="I68" s="58"/>
      <c r="J68" s="46">
        <f t="shared" si="9"/>
        <v>-2595941</v>
      </c>
      <c r="K68" s="46"/>
      <c r="L68" s="63"/>
      <c r="M68" s="63"/>
      <c r="N68" s="63">
        <v>176687.72010000001</v>
      </c>
      <c r="O68" s="46">
        <f t="shared" si="8"/>
        <v>-2419253.2799</v>
      </c>
      <c r="P68" s="46"/>
      <c r="Q68" s="63"/>
      <c r="R68" s="63"/>
      <c r="S68" s="62">
        <f t="shared" si="10"/>
        <v>-2419253.2799</v>
      </c>
    </row>
    <row r="69" spans="1:20" x14ac:dyDescent="0.25">
      <c r="A69" s="45"/>
      <c r="B69" s="45"/>
      <c r="C69" s="36" t="s">
        <v>46</v>
      </c>
      <c r="D69" s="45" t="s">
        <v>69</v>
      </c>
      <c r="E69" s="45" t="s">
        <v>87</v>
      </c>
      <c r="F69" s="36"/>
      <c r="G69" s="45" t="s">
        <v>5</v>
      </c>
      <c r="H69" s="46">
        <v>-508.87</v>
      </c>
      <c r="I69" s="58"/>
      <c r="J69" s="46">
        <f t="shared" si="9"/>
        <v>-508.87</v>
      </c>
      <c r="K69" s="46"/>
      <c r="L69" s="63"/>
      <c r="M69" s="63"/>
      <c r="N69" s="63"/>
      <c r="O69" s="46">
        <f t="shared" si="8"/>
        <v>-508.87</v>
      </c>
      <c r="P69" s="46"/>
      <c r="Q69" s="63"/>
      <c r="R69" s="63"/>
      <c r="S69" s="62">
        <f t="shared" si="10"/>
        <v>-508.87</v>
      </c>
    </row>
    <row r="70" spans="1:20" x14ac:dyDescent="0.25">
      <c r="A70" s="45"/>
      <c r="B70" s="45"/>
      <c r="C70" s="36" t="s">
        <v>46</v>
      </c>
      <c r="D70" s="45" t="s">
        <v>58</v>
      </c>
      <c r="E70" s="45" t="s">
        <v>59</v>
      </c>
      <c r="F70" s="36"/>
      <c r="G70" s="45" t="s">
        <v>88</v>
      </c>
      <c r="H70" s="46">
        <f>-1481795.28-649720</f>
        <v>-2131515.2800000003</v>
      </c>
      <c r="I70" s="58"/>
      <c r="J70" s="46">
        <f>+H70+I70</f>
        <v>-2131515.2800000003</v>
      </c>
      <c r="K70" s="46"/>
      <c r="L70" s="63"/>
      <c r="M70" s="63"/>
      <c r="N70" s="63">
        <v>25171.720099999999</v>
      </c>
      <c r="O70" s="46">
        <f t="shared" si="8"/>
        <v>-2106343.5599000002</v>
      </c>
      <c r="P70" s="46"/>
      <c r="Q70" s="63"/>
      <c r="R70" s="63"/>
      <c r="S70" s="62">
        <f t="shared" si="10"/>
        <v>-2106343.5599000002</v>
      </c>
    </row>
    <row r="71" spans="1:20" x14ac:dyDescent="0.25">
      <c r="A71" s="45"/>
      <c r="B71" s="45"/>
      <c r="C71" s="36" t="s">
        <v>48</v>
      </c>
      <c r="D71" s="26"/>
      <c r="E71" s="26"/>
      <c r="F71" s="35"/>
      <c r="G71" s="45" t="s">
        <v>5</v>
      </c>
      <c r="H71" s="72">
        <v>-12467</v>
      </c>
      <c r="I71" s="58"/>
      <c r="J71" s="46">
        <f t="shared" si="9"/>
        <v>-12467</v>
      </c>
      <c r="K71" s="46"/>
      <c r="L71" s="46"/>
      <c r="M71" s="63"/>
      <c r="N71" s="63"/>
      <c r="O71" s="46">
        <f t="shared" si="8"/>
        <v>-12467</v>
      </c>
      <c r="P71" s="46"/>
      <c r="Q71" s="63"/>
      <c r="R71" s="63"/>
      <c r="S71" s="62">
        <f t="shared" si="10"/>
        <v>-12467</v>
      </c>
    </row>
    <row r="72" spans="1:20" x14ac:dyDescent="0.25">
      <c r="A72" s="45"/>
      <c r="B72" s="45"/>
      <c r="C72" s="36" t="s">
        <v>48</v>
      </c>
      <c r="D72" s="26"/>
      <c r="E72" s="26"/>
      <c r="F72" s="35"/>
      <c r="G72" s="45" t="s">
        <v>88</v>
      </c>
      <c r="H72" s="46">
        <f>-446614.74+12467</f>
        <v>-434147.74</v>
      </c>
      <c r="I72" s="58"/>
      <c r="J72" s="46">
        <f t="shared" si="9"/>
        <v>-434147.74</v>
      </c>
      <c r="K72" s="46"/>
      <c r="L72" s="46"/>
      <c r="M72" s="63"/>
      <c r="N72" s="63"/>
      <c r="O72" s="46">
        <f t="shared" si="8"/>
        <v>-434147.74</v>
      </c>
      <c r="P72" s="46"/>
      <c r="Q72" s="63"/>
      <c r="R72" s="63"/>
      <c r="S72" s="62">
        <f t="shared" si="10"/>
        <v>-434147.74</v>
      </c>
    </row>
    <row r="73" spans="1:20" x14ac:dyDescent="0.25">
      <c r="A73" s="45"/>
      <c r="B73" s="45"/>
      <c r="C73" s="36" t="s">
        <v>50</v>
      </c>
      <c r="D73" s="45" t="s">
        <v>34</v>
      </c>
      <c r="E73" s="45" t="s">
        <v>34</v>
      </c>
      <c r="F73" s="36"/>
      <c r="G73" s="45" t="s">
        <v>5</v>
      </c>
      <c r="H73" s="46">
        <v>-317546.40000000002</v>
      </c>
      <c r="I73" s="26"/>
      <c r="J73" s="46">
        <f t="shared" si="9"/>
        <v>-317546.40000000002</v>
      </c>
      <c r="K73" s="46"/>
      <c r="L73" s="46"/>
      <c r="M73" s="46"/>
      <c r="N73" s="46"/>
      <c r="O73" s="46">
        <f t="shared" si="8"/>
        <v>-317546.40000000002</v>
      </c>
      <c r="P73" s="46"/>
      <c r="Q73" s="46"/>
      <c r="R73" s="46"/>
      <c r="S73" s="62">
        <f t="shared" si="10"/>
        <v>-317546.40000000002</v>
      </c>
    </row>
    <row r="74" spans="1:20" x14ac:dyDescent="0.25">
      <c r="A74" s="45"/>
      <c r="B74" s="45"/>
      <c r="C74" s="36" t="s">
        <v>50</v>
      </c>
      <c r="D74" s="45" t="s">
        <v>58</v>
      </c>
      <c r="E74" s="45" t="s">
        <v>59</v>
      </c>
      <c r="F74" s="36"/>
      <c r="G74" s="45" t="s">
        <v>4</v>
      </c>
      <c r="H74" s="46">
        <v>-22000</v>
      </c>
      <c r="I74" s="58"/>
      <c r="J74" s="46">
        <f t="shared" si="9"/>
        <v>-22000</v>
      </c>
      <c r="K74" s="46"/>
      <c r="L74" s="46"/>
      <c r="M74" s="46"/>
      <c r="N74" s="46"/>
      <c r="O74" s="46">
        <f t="shared" si="8"/>
        <v>-22000</v>
      </c>
      <c r="P74" s="46"/>
      <c r="Q74" s="46"/>
      <c r="R74" s="46"/>
      <c r="S74" s="62">
        <f t="shared" si="10"/>
        <v>-22000</v>
      </c>
    </row>
    <row r="75" spans="1:20" ht="14.45" customHeight="1" x14ac:dyDescent="0.25">
      <c r="S75" s="80"/>
    </row>
    <row r="76" spans="1:20" ht="14.45" customHeight="1" x14ac:dyDescent="0.25">
      <c r="A76" s="73" t="s">
        <v>89</v>
      </c>
      <c r="B76" s="74"/>
      <c r="C76" s="74"/>
      <c r="D76" s="74"/>
      <c r="E76" s="74"/>
      <c r="F76" s="74"/>
      <c r="G76" s="74"/>
      <c r="H76" s="74"/>
      <c r="I76" s="74"/>
      <c r="J76" s="74"/>
      <c r="K76" s="74"/>
      <c r="L76" s="74"/>
      <c r="M76" s="74"/>
      <c r="N76" s="74"/>
      <c r="O76" s="74"/>
      <c r="P76" s="74"/>
      <c r="Q76" s="74"/>
      <c r="R76" s="74"/>
      <c r="S76" s="74"/>
    </row>
    <row r="77" spans="1:20" x14ac:dyDescent="0.25">
      <c r="A77" s="74"/>
      <c r="B77" s="74"/>
      <c r="C77" s="74"/>
      <c r="D77" s="74"/>
      <c r="E77" s="74"/>
      <c r="F77" s="74"/>
      <c r="G77" s="74"/>
      <c r="H77" s="74"/>
      <c r="I77" s="74"/>
      <c r="J77" s="74"/>
      <c r="K77" s="74"/>
      <c r="L77" s="74"/>
      <c r="M77" s="74"/>
      <c r="N77" s="74"/>
      <c r="O77" s="74"/>
      <c r="P77" s="74"/>
      <c r="Q77" s="74"/>
      <c r="R77" s="74"/>
      <c r="S77" s="74"/>
    </row>
    <row r="78" spans="1:20" x14ac:dyDescent="0.25">
      <c r="A78" s="75"/>
      <c r="B78" s="75"/>
      <c r="C78" s="75"/>
      <c r="D78" s="75"/>
      <c r="E78" s="75"/>
      <c r="F78" s="76"/>
      <c r="G78" s="75"/>
      <c r="H78" s="75"/>
    </row>
  </sheetData>
  <autoFilter ref="A14:H73" xr:uid="{00000000-0001-0000-0000-000000000000}"/>
  <mergeCells count="9">
    <mergeCell ref="A58:B58"/>
    <mergeCell ref="A60:B60"/>
    <mergeCell ref="A76:S77"/>
    <mergeCell ref="G2:S3"/>
    <mergeCell ref="A17:B17"/>
    <mergeCell ref="A21:B21"/>
    <mergeCell ref="A22:B22"/>
    <mergeCell ref="A23:B23"/>
    <mergeCell ref="A27:B27"/>
  </mergeCells>
  <pageMargins left="0.70866141732283472" right="0.70866141732283472" top="0.74803149606299213" bottom="0.74803149606299213" header="0.31496062992125984" footer="0.31496062992125984"/>
  <pageSetup paperSize="9" scale="63" fitToHeight="0" orientation="portrait" r:id="rId1"/>
  <headerFooter>
    <oddFooter>Lk &amp;P &amp;N-st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Lisa 1 RIA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 Kajasalu</dc:creator>
  <cp:lastModifiedBy>Eva Kajasalu</cp:lastModifiedBy>
  <dcterms:created xsi:type="dcterms:W3CDTF">2025-01-08T11:34:25Z</dcterms:created>
  <dcterms:modified xsi:type="dcterms:W3CDTF">2025-01-08T11:39:54Z</dcterms:modified>
</cp:coreProperties>
</file>